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Inputs" sheetId="2" state="visible" r:id="rId4"/>
    <sheet name="Answer" sheetId="3" state="visible" r:id="rId5"/>
    <sheet name="Sensitivity" sheetId="4" state="visible" r:id="rId6"/>
    <sheet name="Model"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<sst xmlns="http://schemas.openxmlformats.org/spreadsheetml/2006/main" count="170" uniqueCount="122">
  <si>
    <t xml:space="preserve">Rent vs Buy: the decision model</t>
  </si>
  <si>
    <t xml:space="preserve">Answers one question, before tax: after N years, would you be wealthier having bought this home or having rented and invested the difference?</t>
  </si>
  <si>
    <t xml:space="preserve">How to use it</t>
  </si>
  <si>
    <t xml:space="preserve">1. Inputs tab: type your numbers in the yellow cells. The example is the US median existing home ($429,100, August 2026) vs typical single-family asking rent ($2,289 a month, August 2026), at 7.28%, the Freddie Mac survey average for the week ending 1 October 2026. These are national figures from different sources, used as an example household; sources are noted next to each input.</t>
  </si>
  <si>
    <t xml:space="preserve">2. Answer tab: read the result at the number of years you expect to stay first, then the break-even year and the plain-language summary.</t>
  </si>
  <si>
    <t xml:space="preserve">3. Sensitivity tab: see how the break-even year and the result at your horizon move with home price growth, mortgage rate, rent growth and investment return, one at a time. Then try changing two together on the Inputs tab. The answer depends on assumptions nobody can know for sure.</t>
  </si>
  <si>
    <t xml:space="preserve">4. Model tab: the year-by-year workings, if you want to check the logic.</t>
  </si>
  <si>
    <t xml:space="preserve">How the model thinks (the CFO logic)</t>
  </si>
  <si>
    <t xml:space="preserve">Both paths start with the same cash. The buyer puts it into the down payment and closing costs. The renter invests it.</t>
  </si>
  <si>
    <t xml:space="preserve">Each year, whichever path costs more in cash, the other path invests the difference. If owning costs more than renting (usual early on), the renter invests the gap. If rent overtakes ownership costs later, the buyer invests the gap. Timing convention: the difference is invested once a year, at year end. Investing it monthly would change the results, most noticeably the break-even year.</t>
  </si>
  <si>
    <t xml:space="preserve">Buyer's wealth at year N = home value after selling costs, minus mortgage balance, plus anything the buyer invested.</t>
  </si>
  <si>
    <t xml:space="preserve">Renter's wealth at year N = the investment account.</t>
  </si>
  <si>
    <t xml:space="preserve">Break-even year = the first year the buyer is ahead, under these assumptions. It is highly sensitive to assumptions, including the investing-timing convention above, so treat it as a guide rather than a date. The result at the number of years you expect to stay matters more.</t>
  </si>
  <si>
    <t xml:space="preserve">What the model deliberately leaves out</t>
  </si>
  <si>
    <t xml:space="preserve">Income tax on the mortgage-interest side. Interest only lowers tax if you itemize, and only by the extra benefit over the deduction you would otherwise take (for many households, the standard deduction). It is not simply all interest multiplied by your tax rate.</t>
  </si>
  <si>
    <t xml:space="preserve">Tax on investment gains (the rate depends on taxable income and the type of account, and can be zero), and tax on a home-sale gain where it exceeds the exclusion you qualify for (eligibility depends on ownership and use tests). This is a before-tax illustration; individual tax circumstances are not modelled. For the example household at seven years, the main taxes left out (on the renter's investment gains, and the mortgage-interest and property-tax deductions for households that itemize) would narrow the renter's lead or leave it unchanged, provided the home sale qualifies for the exclusion. Over longer horizons a home gain above the exclusion would be taxed, which works the other way. The size of these effects is not calculated here.</t>
  </si>
  <si>
    <t xml:space="preserve">Non-financial factors: stability, freedom to move, the work of owning. These matter; the model gives you the financial baseline to weigh them against.</t>
  </si>
  <si>
    <t xml:space="preserve">Legend: yellow cells with blue text = type here. Black = formulas. Green = pulled from another tab. Works in Excel and Google Sheets.</t>
  </si>
  <si>
    <t xml:space="preserve">Educational content, not financial advice. The result depends entirely on assumptions about the future that nobody can know. Use the Sensitivity tab, not a single number. Written by a chartered accountant with 15 years in banking. (c) 2026 Decide Like a CFO, decidelikeacfo.com.</t>
  </si>
  <si>
    <t xml:space="preserve">Inputs. Type in the yellow cells only. Annual rates as percentages.</t>
  </si>
  <si>
    <t xml:space="preserve">The home</t>
  </si>
  <si>
    <t xml:space="preserve">Purchase price</t>
  </si>
  <si>
    <t xml:space="preserve">Episode 1: US median existing-home price, August 2026. Source: National Association of Realtors, Existing-Home Sales, released 10 Sep 2026. Replace with your own price.</t>
  </si>
  <si>
    <t xml:space="preserve">Source link</t>
  </si>
  <si>
    <t xml:space="preserve">Down payment (% of price)</t>
  </si>
  <si>
    <t xml:space="preserve">Under 20% usually adds mortgage insurance; add it to 'other monthly cost' below</t>
  </si>
  <si>
    <t xml:space="preserve">Mortgage interest rate (annual)</t>
  </si>
  <si>
    <t xml:space="preserve">Episode 1: Freddie Mac 30-year fixed average, week ending 1 Oct 2026 (Primary Mortgage Market Survey). Rates change weekly; enter today's quote.</t>
  </si>
  <si>
    <t xml:space="preserve">Mortgage term (years)</t>
  </si>
  <si>
    <t xml:space="preserve">Buying closing costs (% of price)</t>
  </si>
  <si>
    <t xml:space="preserve">Typical US range 2-5%</t>
  </si>
  <si>
    <t xml:space="preserve">Property tax (% of home value per year)</t>
  </si>
  <si>
    <t xml:space="preserve">US average about 1.1%; varies 0.3% to 2.5% by state</t>
  </si>
  <si>
    <t xml:space="preserve">Home insurance (per year, today's dollars)</t>
  </si>
  <si>
    <t xml:space="preserve">HOA and other monthly owner costs (per month)</t>
  </si>
  <si>
    <t xml:space="preserve">HOA, mortgage insurance, extra utilities an owner pays</t>
  </si>
  <si>
    <t xml:space="preserve">Maintenance (% of home value per year)</t>
  </si>
  <si>
    <t xml:space="preserve">Rule of thumb 1-2%; older homes higher</t>
  </si>
  <si>
    <t xml:space="preserve">Home price growth (per year)</t>
  </si>
  <si>
    <t xml:space="preserve">Long-run US average roughly 3-4% nominal; the Sensitivity tab varies this</t>
  </si>
  <si>
    <t xml:space="preserve">Selling costs (% of sale price)</t>
  </si>
  <si>
    <t xml:space="preserve">Agent commissions plus closing; 5-7% is typical</t>
  </si>
  <si>
    <t xml:space="preserve">Growth in insurance, HOA (per year)</t>
  </si>
  <si>
    <t xml:space="preserve">The rental</t>
  </si>
  <si>
    <t xml:space="preserve">Monthly rent today</t>
  </si>
  <si>
    <t xml:space="preserve">Episode 1: typical US single-family asking rent, August 2026. Source: Zillow Observed Rent Index, August 2026 Rent Report, released 16 Sep 2026. Use rent for a comparable home, not a smaller one.</t>
  </si>
  <si>
    <t xml:space="preserve">Rent growth (per year)</t>
  </si>
  <si>
    <t xml:space="preserve">US long-run 3-4%; the Sensitivity tab varies this</t>
  </si>
  <si>
    <t xml:space="preserve">Renter's insurance (per year)</t>
  </si>
  <si>
    <t xml:space="preserve">Money and time</t>
  </si>
  <si>
    <t xml:space="preserve">Investment return on money not spent on the home (per year)</t>
  </si>
  <si>
    <t xml:space="preserve">After-fee, before-tax expected return; 5-7% is a common planning range for a diversified portfolio</t>
  </si>
  <si>
    <t xml:space="preserve">Years you expect to stay</t>
  </si>
  <si>
    <t xml:space="preserve">The single most important input. Median US homeowner tenure is 12-13 years; first-time buyers often move sooner</t>
  </si>
  <si>
    <t xml:space="preserve">Sources for defaults: US Census and NAR for tenure and closing costs; Tax Foundation for property tax averages; Freddie Mac PMMS for rate ranges. Replace every default with your own quotes. Episode 1 figures (price, rate, rent): source and date next to each input in column C, with a link in column D.</t>
  </si>
  <si>
    <t xml:space="preserve">Rent vs Buy: the answer</t>
  </si>
  <si>
    <t xml:space="preserve">Calculated from your Inputs, before tax. Read the Sensitivity tab before deciding.</t>
  </si>
  <si>
    <t xml:space="preserve">Headline</t>
  </si>
  <si>
    <t xml:space="preserve">Break-even year (first year buying is ahead)</t>
  </si>
  <si>
    <t xml:space="preserve">The first year buying is ahead under these assumptions. It moves a lot with small changes, so compare the result at the number of years you expect to stay (row 7) instead.</t>
  </si>
  <si>
    <t xml:space="preserve">Buyer minus renter at your horizon</t>
  </si>
  <si>
    <t xml:space="preserve">Positive = buying leaves you wealthier at the end of your stay. Negative = renting does.</t>
  </si>
  <si>
    <t xml:space="preserve">Buyer's wealth at horizon (equity after selling costs + investments)</t>
  </si>
  <si>
    <t xml:space="preserve">Renter's wealth at horizon (investment account)</t>
  </si>
  <si>
    <t xml:space="preserve">What the numbers say</t>
  </si>
  <si>
    <t xml:space="preserve">What is driving the answer</t>
  </si>
  <si>
    <t xml:space="preserve">Cash needed at purchase (down payment + closing)</t>
  </si>
  <si>
    <t xml:space="preserve">The model assumes the renter invests this on day one, so the return it would have earned counts against buying.</t>
  </si>
  <si>
    <t xml:space="preserve">Owner's cash out, year 1</t>
  </si>
  <si>
    <t xml:space="preserve">Mortgage payments, property tax, insurance, HOA, maintenance.</t>
  </si>
  <si>
    <t xml:space="preserve">Renter's cash out, year 1</t>
  </si>
  <si>
    <t xml:space="preserve">Year-1 gap (owner pays this much more)</t>
  </si>
  <si>
    <t xml:space="preserve">If positive, the renter invests this each year. The larger the gap, the longer break-even takes.</t>
  </si>
  <si>
    <t xml:space="preserve">Year-1 gap per month</t>
  </si>
  <si>
    <t xml:space="preserve">Price-to-annual-rent ratio</t>
  </si>
  <si>
    <t xml:space="preserve">A rough rule of thumb, not a test: a lower ratio means rent is high relative to price, which tends to help buying. This model's answer depends on all the inputs together.</t>
  </si>
  <si>
    <t xml:space="preserve">Share of year-1 mortgage payment that is interest</t>
  </si>
  <si>
    <t xml:space="preserve">Early payments are mostly interest, which is one reason short stays tend to favor renting in this model.</t>
  </si>
  <si>
    <t xml:space="preserve">How to read this like a CFO</t>
  </si>
  <si>
    <t xml:space="preserve">1. Don't rely on one number. Open the Sensitivity tab and find the assumption that flips the answer, then try changing two together on the Inputs tab. If modest changes flip it, the result is really a bet on those assumptions.</t>
  </si>
  <si>
    <t xml:space="preserve">2. Compare the result at the number of years you expect to stay. The break-even year moves a lot with small changes, so use it as a guide, not a date.</t>
  </si>
  <si>
    <t xml:space="preserve">3. The renter's result assumes the difference is actually invested every year. If that money would be spent instead, the comparison changes: a mortgage also works as forced saving.</t>
  </si>
  <si>
    <t xml:space="preserve">4. The model is the financial baseline. Stability, schools, freedom to move and the work of owning a home are real; weigh them against a number, not instead of one.</t>
  </si>
  <si>
    <t xml:space="preserve">Educational content, not financial advice. Results depend on assumptions about the future. Decide Like a CFO, decidelikeacfo.com.</t>
  </si>
  <si>
    <t xml:space="preserve">Sensitivity: how the break-even year and the result at your horizon move when one assumption changes. Everything else stays at your Inputs.</t>
  </si>
  <si>
    <t xml:space="preserve">"Never" = buying is not ahead within 30 years under that assumption.</t>
  </si>
  <si>
    <t xml:space="preserve">A. Home price growth per year</t>
  </si>
  <si>
    <t xml:space="preserve">Assumption tested</t>
  </si>
  <si>
    <t xml:space="preserve">Break-even year (first year buyer ahead)</t>
  </si>
  <si>
    <t xml:space="preserve">Base case marker</t>
  </si>
  <si>
    <t xml:space="preserve">Workings (year rows; do not edit)</t>
  </si>
  <si>
    <t xml:space="preserve">Home value</t>
  </si>
  <si>
    <t xml:space="preserve">Mortgage balance</t>
  </si>
  <si>
    <t xml:space="preserve">Owner cash out</t>
  </si>
  <si>
    <t xml:space="preserve">Renter cash out</t>
  </si>
  <si>
    <t xml:space="preserve">Renter investments</t>
  </si>
  <si>
    <t xml:space="preserve">Buyer investments</t>
  </si>
  <si>
    <t xml:space="preserve">Buyer minus renter</t>
  </si>
  <si>
    <t xml:space="preserve">First year ahead</t>
  </si>
  <si>
    <t xml:space="preserve">B. Mortgage rate (if your rate falls between two columns, the Answer tab shows its exact result)</t>
  </si>
  <si>
    <t xml:space="preserve">C. Rent growth per year</t>
  </si>
  <si>
    <t xml:space="preserve">D. Investment return on the renter's money</t>
  </si>
  <si>
    <t xml:space="preserve">Read across each row to see how the result at your horizon and the break-even year move with one assumption. Then try two changes together on the Inputs tab: modest changes combined can reverse the result. It is only as good as the assumptions.</t>
  </si>
  <si>
    <t xml:space="preserve">Year-by-year workings. Year 0 = the day of purchase. All formulas; nothing to type here.</t>
  </si>
  <si>
    <t xml:space="preserve">Loan</t>
  </si>
  <si>
    <t xml:space="preserve">Annual payment</t>
  </si>
  <si>
    <t xml:space="preserve">Cash at start</t>
  </si>
  <si>
    <t xml:space="preserve">Year</t>
  </si>
  <si>
    <t xml:space="preserve">Mortgage payments</t>
  </si>
  <si>
    <t xml:space="preserve">Property tax</t>
  </si>
  <si>
    <t xml:space="preserve">Insurance</t>
  </si>
  <si>
    <t xml:space="preserve">HOA/other</t>
  </si>
  <si>
    <t xml:space="preserve">Maintenance</t>
  </si>
  <si>
    <t xml:space="preserve">Rent</t>
  </si>
  <si>
    <t xml:space="preserve">Renter's insurance</t>
  </si>
  <si>
    <t xml:space="preserve">Gap (owner - renter)</t>
  </si>
  <si>
    <t xml:space="preserve">Renter's investments</t>
  </si>
  <si>
    <t xml:space="preserve">Buyer's investments</t>
  </si>
  <si>
    <t xml:space="preserve">Buyer equity after selling costs</t>
  </si>
  <si>
    <t xml:space="preserve">Buyer wealth</t>
  </si>
  <si>
    <t xml:space="preserve">Renter wealth</t>
  </si>
  <si>
    <t xml:space="preserve">First year buyer ahead</t>
  </si>
</sst>
</file>

<file path=xl/styles.xml><?xml version="1.0" encoding="utf-8"?>
<styleSheet xmlns="http://schemas.openxmlformats.org/spreadsheetml/2006/main">
  <numFmts count="6">
    <numFmt numFmtId="164" formatCode="General"/>
    <numFmt numFmtId="165" formatCode="\$#,##0;&quot;($&quot;#,##0\);\-"/>
    <numFmt numFmtId="166" formatCode="0.0%"/>
    <numFmt numFmtId="167" formatCode="0.00%"/>
    <numFmt numFmtId="168" formatCode="0"/>
    <numFmt numFmtId="169" formatCode="0.0"/>
  </numFmts>
  <fonts count="17">
    <font>
      <sz val="11"/>
      <color theme="1"/>
      <name val="Calibri"/>
      <family val="2"/>
      <charset val="1"/>
    </font>
    <font>
      <sz val="10"/>
      <name val="Arial"/>
      <family val="0"/>
    </font>
    <font>
      <sz val="10"/>
      <name val="Arial"/>
      <family val="0"/>
    </font>
    <font>
      <sz val="10"/>
      <name val="Arial"/>
      <family val="0"/>
    </font>
    <font>
      <b val="true"/>
      <sz val="16"/>
      <color rgb="FF000000"/>
      <name val="Arial"/>
      <family val="0"/>
      <charset val="1"/>
    </font>
    <font>
      <sz val="11"/>
      <color rgb="FF000000"/>
      <name val="Arial"/>
      <family val="0"/>
      <charset val="1"/>
    </font>
    <font>
      <b val="true"/>
      <sz val="12"/>
      <color rgb="FF000000"/>
      <name val="Arial"/>
      <family val="0"/>
      <charset val="1"/>
    </font>
    <font>
      <sz val="10"/>
      <color rgb="FF000000"/>
      <name val="Arial"/>
      <family val="0"/>
      <charset val="1"/>
    </font>
    <font>
      <i val="true"/>
      <sz val="10"/>
      <color rgb="FF000000"/>
      <name val="Arial"/>
      <family val="0"/>
      <charset val="1"/>
    </font>
    <font>
      <i val="true"/>
      <sz val="10"/>
      <color rgb="FF666666"/>
      <name val="Arial"/>
      <family val="0"/>
      <charset val="1"/>
    </font>
    <font>
      <b val="true"/>
      <sz val="11"/>
      <color rgb="FFFFFFFF"/>
      <name val="Arial"/>
      <family val="0"/>
      <charset val="1"/>
    </font>
    <font>
      <sz val="10"/>
      <color rgb="FF0000FF"/>
      <name val="Arial"/>
      <family val="0"/>
      <charset val="1"/>
    </font>
    <font>
      <u val="single"/>
      <sz val="10"/>
      <color rgb="FF1F3A5F"/>
      <name val="Arial"/>
      <family val="0"/>
      <charset val="1"/>
    </font>
    <font>
      <sz val="10"/>
      <color rgb="FF008000"/>
      <name val="Arial"/>
      <family val="0"/>
      <charset val="1"/>
    </font>
    <font>
      <b val="true"/>
      <sz val="10"/>
      <color rgb="FF000000"/>
      <name val="Arial"/>
      <family val="0"/>
      <charset val="1"/>
    </font>
    <font>
      <b val="true"/>
      <sz val="11"/>
      <color rgb="FF000000"/>
      <name val="Arial"/>
      <family val="0"/>
      <charset val="1"/>
    </font>
    <font>
      <sz val="8"/>
      <color rgb="FF808080"/>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FFF2CC"/>
        <bgColor rgb="FFEEF2F7"/>
      </patternFill>
    </fill>
    <fill>
      <patternFill patternType="solid">
        <fgColor rgb="FFEEF2F7"/>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11" fillId="3" borderId="1"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6" fontId="11" fillId="3"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7" fontId="11" fillId="3" borderId="1" xfId="0" applyFont="true" applyBorder="true" applyAlignment="true" applyProtection="false">
      <alignment horizontal="general" vertical="bottom" textRotation="0" wrapText="false" indent="0" shrinkToFit="false"/>
      <protection locked="true" hidden="false"/>
    </xf>
    <xf numFmtId="168" fontId="11" fillId="3"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8" fontId="13" fillId="0"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8" fontId="14" fillId="0" borderId="1" xfId="0" applyFont="true" applyBorder="true" applyAlignment="true" applyProtection="false">
      <alignment horizontal="general" vertical="bottom" textRotation="0" wrapText="false" indent="0" shrinkToFit="false"/>
      <protection locked="true" hidden="false"/>
    </xf>
    <xf numFmtId="165" fontId="14" fillId="0" borderId="1" xfId="0" applyFont="true" applyBorder="true" applyAlignment="true" applyProtection="false">
      <alignment horizontal="general" vertical="bottom" textRotation="0" wrapText="false" indent="0" shrinkToFit="false"/>
      <protection locked="true" hidden="false"/>
    </xf>
    <xf numFmtId="165" fontId="13" fillId="0"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9" fontId="13" fillId="0" borderId="1" xfId="0" applyFont="true" applyBorder="true" applyAlignment="true" applyProtection="false">
      <alignment horizontal="general" vertical="bottom" textRotation="0" wrapText="false" indent="0" shrinkToFit="false"/>
      <protection locked="true" hidden="false"/>
    </xf>
    <xf numFmtId="166" fontId="13" fillId="0"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EF2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nar.realtor/newsroom/nar-existing-home-sales-report-shows-2-0-decrease-in-august" TargetMode="External"/><Relationship Id="rId2" Type="http://schemas.openxmlformats.org/officeDocument/2006/relationships/hyperlink" Target="https://www.freddiemac.com/pmms" TargetMode="External"/><Relationship Id="rId3" Type="http://schemas.openxmlformats.org/officeDocument/2006/relationships/hyperlink" Target="https://www.zillow.com/research/august-2026-rent-repor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5"/>
  </cols>
  <sheetData>
    <row r="1" customFormat="false" ht="19.5" hidden="false" customHeight="true" outlineLevel="0" collapsed="false">
      <c r="A1" s="2" t="s">
        <v>0</v>
      </c>
    </row>
    <row r="2" customFormat="false" ht="26.25" hidden="false" customHeight="true" outlineLevel="0" collapsed="false">
      <c r="A2" s="3" t="s">
        <v>1</v>
      </c>
    </row>
    <row r="3" customFormat="false" ht="15" hidden="false" customHeight="true" outlineLevel="0" collapsed="false">
      <c r="A3" s="4"/>
    </row>
    <row r="4" customFormat="false" ht="15" hidden="false" customHeight="true" outlineLevel="0" collapsed="false">
      <c r="A4" s="5" t="s">
        <v>2</v>
      </c>
    </row>
    <row r="5" customFormat="false" ht="15" hidden="false" customHeight="true" outlineLevel="0" collapsed="false">
      <c r="A5" s="6" t="s">
        <v>3</v>
      </c>
    </row>
    <row r="6" customFormat="false" ht="15" hidden="false" customHeight="true" outlineLevel="0" collapsed="false">
      <c r="A6" s="6" t="s">
        <v>4</v>
      </c>
    </row>
    <row r="7" customFormat="false" ht="23.25" hidden="false" customHeight="true" outlineLevel="0" collapsed="false">
      <c r="A7" s="6" t="s">
        <v>5</v>
      </c>
    </row>
    <row r="8" customFormat="false" ht="15" hidden="false" customHeight="true" outlineLevel="0" collapsed="false">
      <c r="A8" s="6" t="s">
        <v>6</v>
      </c>
    </row>
    <row r="9" customFormat="false" ht="15" hidden="false" customHeight="true" outlineLevel="0" collapsed="false">
      <c r="A9" s="4"/>
    </row>
    <row r="10" customFormat="false" ht="15" hidden="false" customHeight="true" outlineLevel="0" collapsed="false">
      <c r="A10" s="5" t="s">
        <v>7</v>
      </c>
    </row>
    <row r="11" customFormat="false" ht="15" hidden="false" customHeight="true" outlineLevel="0" collapsed="false">
      <c r="A11" s="6" t="s">
        <v>8</v>
      </c>
    </row>
    <row r="12" customFormat="false" ht="23.25" hidden="false" customHeight="true" outlineLevel="0" collapsed="false">
      <c r="A12" s="6" t="s">
        <v>9</v>
      </c>
    </row>
    <row r="13" customFormat="false" ht="15" hidden="false" customHeight="true" outlineLevel="0" collapsed="false">
      <c r="A13" s="6" t="s">
        <v>10</v>
      </c>
    </row>
    <row r="14" customFormat="false" ht="15" hidden="false" customHeight="true" outlineLevel="0" collapsed="false">
      <c r="A14" s="6" t="s">
        <v>11</v>
      </c>
    </row>
    <row r="15" customFormat="false" ht="15" hidden="false" customHeight="true" outlineLevel="0" collapsed="false">
      <c r="A15" s="6" t="s">
        <v>12</v>
      </c>
    </row>
    <row r="16" customFormat="false" ht="15" hidden="false" customHeight="true" outlineLevel="0" collapsed="false">
      <c r="A16" s="4"/>
    </row>
    <row r="17" customFormat="false" ht="15" hidden="false" customHeight="true" outlineLevel="0" collapsed="false">
      <c r="A17" s="5" t="s">
        <v>13</v>
      </c>
    </row>
    <row r="18" customFormat="false" ht="23.25" hidden="false" customHeight="true" outlineLevel="0" collapsed="false">
      <c r="A18" s="6" t="s">
        <v>14</v>
      </c>
    </row>
    <row r="19" customFormat="false" ht="23.25" hidden="false" customHeight="true" outlineLevel="0" collapsed="false">
      <c r="A19" s="6" t="s">
        <v>15</v>
      </c>
    </row>
    <row r="20" customFormat="false" ht="23.25" hidden="false" customHeight="true" outlineLevel="0" collapsed="false">
      <c r="A20" s="6" t="s">
        <v>16</v>
      </c>
    </row>
    <row r="21" customFormat="false" ht="15" hidden="false" customHeight="true" outlineLevel="0" collapsed="false">
      <c r="A21" s="4"/>
    </row>
    <row r="22" customFormat="false" ht="23.25" hidden="false" customHeight="true" outlineLevel="0" collapsed="false">
      <c r="A22" s="7" t="s">
        <v>17</v>
      </c>
    </row>
    <row r="23" customFormat="false" ht="15" hidden="false" customHeight="true" outlineLevel="0" collapsed="false">
      <c r="A23" s="4"/>
    </row>
    <row r="24" customFormat="false" ht="23.25" hidden="false" customHeight="true" outlineLevel="0" collapsed="false">
      <c r="A24" s="8"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16"/>
    <col collapsed="false" customWidth="true" hidden="false" outlineLevel="0" max="3" min="3" style="1" width="62"/>
  </cols>
  <sheetData>
    <row r="1" customFormat="false" ht="15" hidden="false" customHeight="true" outlineLevel="0" collapsed="false">
      <c r="A1" s="9" t="s">
        <v>19</v>
      </c>
    </row>
    <row r="3" customFormat="false" ht="15" hidden="false" customHeight="true" outlineLevel="0" collapsed="false">
      <c r="A3" s="10" t="s">
        <v>20</v>
      </c>
      <c r="B3" s="11"/>
      <c r="C3" s="11"/>
    </row>
    <row r="4" customFormat="false" ht="39.75" hidden="false" customHeight="true" outlineLevel="0" collapsed="false">
      <c r="A4" s="12" t="s">
        <v>21</v>
      </c>
      <c r="B4" s="13" t="n">
        <v>429100</v>
      </c>
      <c r="C4" s="8" t="s">
        <v>22</v>
      </c>
      <c r="D4" s="14" t="s">
        <v>23</v>
      </c>
    </row>
    <row r="5" customFormat="false" ht="15" hidden="false" customHeight="true" outlineLevel="0" collapsed="false">
      <c r="A5" s="12" t="s">
        <v>24</v>
      </c>
      <c r="B5" s="15" t="n">
        <v>0.2</v>
      </c>
      <c r="C5" s="16" t="s">
        <v>25</v>
      </c>
    </row>
    <row r="6" customFormat="false" ht="39.75" hidden="false" customHeight="true" outlineLevel="0" collapsed="false">
      <c r="A6" s="12" t="s">
        <v>26</v>
      </c>
      <c r="B6" s="17" t="n">
        <v>0.0728</v>
      </c>
      <c r="C6" s="8" t="s">
        <v>27</v>
      </c>
      <c r="D6" s="14" t="s">
        <v>23</v>
      </c>
    </row>
    <row r="7" customFormat="false" ht="15" hidden="false" customHeight="true" outlineLevel="0" collapsed="false">
      <c r="A7" s="12" t="s">
        <v>28</v>
      </c>
      <c r="B7" s="18" t="n">
        <v>30</v>
      </c>
    </row>
    <row r="8" customFormat="false" ht="15" hidden="false" customHeight="true" outlineLevel="0" collapsed="false">
      <c r="A8" s="12" t="s">
        <v>29</v>
      </c>
      <c r="B8" s="15" t="n">
        <v>0.03</v>
      </c>
      <c r="C8" s="16" t="s">
        <v>30</v>
      </c>
    </row>
    <row r="9" customFormat="false" ht="15" hidden="false" customHeight="true" outlineLevel="0" collapsed="false">
      <c r="A9" s="12" t="s">
        <v>31</v>
      </c>
      <c r="B9" s="17" t="n">
        <v>0.011</v>
      </c>
      <c r="C9" s="16" t="s">
        <v>32</v>
      </c>
    </row>
    <row r="10" customFormat="false" ht="15" hidden="false" customHeight="true" outlineLevel="0" collapsed="false">
      <c r="A10" s="12" t="s">
        <v>33</v>
      </c>
      <c r="B10" s="13" t="n">
        <v>2200</v>
      </c>
    </row>
    <row r="11" customFormat="false" ht="15" hidden="false" customHeight="true" outlineLevel="0" collapsed="false">
      <c r="A11" s="12" t="s">
        <v>34</v>
      </c>
      <c r="B11" s="13" t="n">
        <v>0</v>
      </c>
      <c r="C11" s="16" t="s">
        <v>35</v>
      </c>
    </row>
    <row r="12" customFormat="false" ht="15" hidden="false" customHeight="true" outlineLevel="0" collapsed="false">
      <c r="A12" s="12" t="s">
        <v>36</v>
      </c>
      <c r="B12" s="17" t="n">
        <v>0.01</v>
      </c>
      <c r="C12" s="16" t="s">
        <v>37</v>
      </c>
    </row>
    <row r="13" customFormat="false" ht="15" hidden="false" customHeight="true" outlineLevel="0" collapsed="false">
      <c r="A13" s="12" t="s">
        <v>38</v>
      </c>
      <c r="B13" s="17" t="n">
        <v>0.03</v>
      </c>
      <c r="C13" s="16" t="s">
        <v>39</v>
      </c>
    </row>
    <row r="14" customFormat="false" ht="15" hidden="false" customHeight="true" outlineLevel="0" collapsed="false">
      <c r="A14" s="12" t="s">
        <v>40</v>
      </c>
      <c r="B14" s="15" t="n">
        <v>0.06</v>
      </c>
      <c r="C14" s="16" t="s">
        <v>41</v>
      </c>
    </row>
    <row r="15" customFormat="false" ht="15" hidden="false" customHeight="true" outlineLevel="0" collapsed="false">
      <c r="A15" s="12" t="s">
        <v>42</v>
      </c>
      <c r="B15" s="17" t="n">
        <v>0.03</v>
      </c>
    </row>
    <row r="17" customFormat="false" ht="15" hidden="false" customHeight="true" outlineLevel="0" collapsed="false">
      <c r="A17" s="10" t="s">
        <v>43</v>
      </c>
      <c r="B17" s="11"/>
      <c r="C17" s="11"/>
    </row>
    <row r="18" customFormat="false" ht="39.75" hidden="false" customHeight="true" outlineLevel="0" collapsed="false">
      <c r="A18" s="12" t="s">
        <v>44</v>
      </c>
      <c r="B18" s="13" t="n">
        <v>2289</v>
      </c>
      <c r="C18" s="8" t="s">
        <v>45</v>
      </c>
      <c r="D18" s="14" t="s">
        <v>23</v>
      </c>
    </row>
    <row r="19" customFormat="false" ht="15" hidden="false" customHeight="true" outlineLevel="0" collapsed="false">
      <c r="A19" s="12" t="s">
        <v>46</v>
      </c>
      <c r="B19" s="17" t="n">
        <v>0.03</v>
      </c>
      <c r="C19" s="16" t="s">
        <v>47</v>
      </c>
    </row>
    <row r="20" customFormat="false" ht="15" hidden="false" customHeight="true" outlineLevel="0" collapsed="false">
      <c r="A20" s="12" t="s">
        <v>48</v>
      </c>
      <c r="B20" s="13" t="n">
        <v>250</v>
      </c>
    </row>
    <row r="22" customFormat="false" ht="15" hidden="false" customHeight="true" outlineLevel="0" collapsed="false">
      <c r="A22" s="10" t="s">
        <v>49</v>
      </c>
      <c r="B22" s="11"/>
      <c r="C22" s="11"/>
    </row>
    <row r="23" customFormat="false" ht="15" hidden="false" customHeight="true" outlineLevel="0" collapsed="false">
      <c r="A23" s="12" t="s">
        <v>50</v>
      </c>
      <c r="B23" s="17" t="n">
        <v>0.06</v>
      </c>
      <c r="C23" s="16" t="s">
        <v>51</v>
      </c>
    </row>
    <row r="24" customFormat="false" ht="15" hidden="false" customHeight="true" outlineLevel="0" collapsed="false">
      <c r="A24" s="12" t="s">
        <v>52</v>
      </c>
      <c r="B24" s="18" t="n">
        <v>7</v>
      </c>
      <c r="C24" s="16" t="s">
        <v>53</v>
      </c>
    </row>
    <row r="26" customFormat="false" ht="42" hidden="false" customHeight="true" outlineLevel="0" collapsed="false">
      <c r="A26" s="19" t="s">
        <v>54</v>
      </c>
    </row>
  </sheetData>
  <hyperlinks>
    <hyperlink ref="D4" r:id="rId1" display="Source link"/>
    <hyperlink ref="D6" r:id="rId2" display="Source link"/>
    <hyperlink ref="D18" r:id="rId3" display="Source link"/>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8"/>
    <col collapsed="false" customWidth="true" hidden="false" outlineLevel="0" max="3" min="3" style="1" width="70"/>
  </cols>
  <sheetData>
    <row r="1" customFormat="false" ht="19.5" hidden="false" customHeight="true" outlineLevel="0" collapsed="false">
      <c r="A1" s="20" t="s">
        <v>55</v>
      </c>
    </row>
    <row r="2" customFormat="false" ht="15" hidden="false" customHeight="true" outlineLevel="0" collapsed="false">
      <c r="A2" s="16" t="s">
        <v>56</v>
      </c>
    </row>
    <row r="4" customFormat="false" ht="15" hidden="false" customHeight="true" outlineLevel="0" collapsed="false">
      <c r="A4" s="10" t="s">
        <v>57</v>
      </c>
      <c r="B4" s="11"/>
      <c r="C4" s="11"/>
    </row>
    <row r="5" customFormat="false" ht="15" hidden="false" customHeight="true" outlineLevel="0" collapsed="false">
      <c r="A5" s="12" t="s">
        <v>52</v>
      </c>
      <c r="B5" s="21" t="n">
        <f aca="false">Inputs!$B$24</f>
        <v>7</v>
      </c>
      <c r="C5" s="4"/>
    </row>
    <row r="6" customFormat="false" ht="23.25" hidden="false" customHeight="true" outlineLevel="0" collapsed="false">
      <c r="A6" s="22" t="s">
        <v>58</v>
      </c>
      <c r="B6" s="23" t="n">
        <f aca="false">IF(Model!T34="","Never (30+ years)",Model!T34)</f>
        <v>30</v>
      </c>
      <c r="C6" s="8" t="s">
        <v>59</v>
      </c>
    </row>
    <row r="7" customFormat="false" ht="23.25" hidden="false" customHeight="true" outlineLevel="0" collapsed="false">
      <c r="A7" s="22" t="s">
        <v>60</v>
      </c>
      <c r="B7" s="24" t="n">
        <f aca="false">INDEX(Model!S4:S34,Inputs!$B$24+1)</f>
        <v>-52505.3241227269</v>
      </c>
      <c r="C7" s="8" t="s">
        <v>61</v>
      </c>
    </row>
    <row r="8" customFormat="false" ht="15" hidden="false" customHeight="true" outlineLevel="0" collapsed="false">
      <c r="A8" s="12" t="s">
        <v>62</v>
      </c>
      <c r="B8" s="25" t="n">
        <f aca="false">INDEX(Model!Q4:Q34,Inputs!$B$24+1)</f>
        <v>181845.193114583</v>
      </c>
      <c r="C8" s="4"/>
    </row>
    <row r="9" customFormat="false" ht="15" hidden="false" customHeight="true" outlineLevel="0" collapsed="false">
      <c r="A9" s="12" t="s">
        <v>63</v>
      </c>
      <c r="B9" s="25" t="n">
        <f aca="false">INDEX(Model!R4:R34,Inputs!$B$24+1)</f>
        <v>234350.51723731</v>
      </c>
      <c r="C9" s="4"/>
    </row>
    <row r="11" customFormat="false" ht="15" hidden="false" customHeight="true" outlineLevel="0" collapsed="false">
      <c r="A11" s="10" t="s">
        <v>64</v>
      </c>
      <c r="B11" s="11"/>
      <c r="C11" s="11"/>
    </row>
    <row r="12" customFormat="false" ht="94.5" hidden="false" customHeight="true" outlineLevel="0" collapsed="false">
      <c r="A12" s="26" t="str">
        <f aca="false">"Under these assumptions, before tax, "&amp;IF(B7&gt;=0,"buying","renting and investing")&amp;" leaves more wealth after "&amp;Inputs!$B$24&amp;" years: "&amp;TEXT(ABS(B7),"$#,##0")&amp;" more. "&amp;IF(ISNUMBER(B6),"In this model buying first comes out ahead in year "&amp;B6&amp;"; that year is highly sensitive to assumptions.","Buying does not come out ahead within 30 years in this model.")&amp;" Change the stay length, home value growth, mortgage rate and investment return, alone and together, to see how the result moves."</f>
        <v>Under these assumptions, before tax, renting and investing leaves more wealth after 7 years: $52,505 more. In this model buying first comes out ahead in year 30; that year is highly sensitive to assumptions. Change the stay length, home value growth, mortgage rate and investment return, alone and together, to see how the result moves.</v>
      </c>
      <c r="B12" s="26"/>
      <c r="C12" s="26"/>
    </row>
    <row r="14" customFormat="false" ht="15" hidden="false" customHeight="true" outlineLevel="0" collapsed="false">
      <c r="A14" s="10" t="s">
        <v>65</v>
      </c>
      <c r="B14" s="11"/>
      <c r="C14" s="11"/>
    </row>
    <row r="15" customFormat="false" ht="23.25" hidden="false" customHeight="true" outlineLevel="0" collapsed="false">
      <c r="A15" s="12" t="s">
        <v>66</v>
      </c>
      <c r="B15" s="25" t="n">
        <f aca="false">Model!$F$2</f>
        <v>98693</v>
      </c>
      <c r="C15" s="8" t="s">
        <v>67</v>
      </c>
    </row>
    <row r="16" customFormat="false" ht="15" hidden="false" customHeight="true" outlineLevel="0" collapsed="false">
      <c r="A16" s="12" t="s">
        <v>68</v>
      </c>
      <c r="B16" s="25" t="n">
        <f aca="false">Model!I5</f>
        <v>39396.2670698949</v>
      </c>
      <c r="C16" s="8" t="s">
        <v>69</v>
      </c>
    </row>
    <row r="17" customFormat="false" ht="15" hidden="false" customHeight="true" outlineLevel="0" collapsed="false">
      <c r="A17" s="12" t="s">
        <v>70</v>
      </c>
      <c r="B17" s="25" t="n">
        <f aca="false">Model!L5</f>
        <v>27718</v>
      </c>
      <c r="C17" s="4"/>
    </row>
    <row r="18" customFormat="false" ht="23.25" hidden="false" customHeight="true" outlineLevel="0" collapsed="false">
      <c r="A18" s="12" t="s">
        <v>71</v>
      </c>
      <c r="B18" s="25" t="n">
        <f aca="false">Model!M5</f>
        <v>11678.2670698949</v>
      </c>
      <c r="C18" s="8" t="s">
        <v>72</v>
      </c>
    </row>
    <row r="19" customFormat="false" ht="15" hidden="false" customHeight="true" outlineLevel="0" collapsed="false">
      <c r="A19" s="12" t="s">
        <v>73</v>
      </c>
      <c r="B19" s="25" t="n">
        <f aca="false">B18/12</f>
        <v>973.188922491242</v>
      </c>
      <c r="C19" s="4"/>
    </row>
    <row r="20" customFormat="false" ht="23.25" hidden="false" customHeight="true" outlineLevel="0" collapsed="false">
      <c r="A20" s="12" t="s">
        <v>74</v>
      </c>
      <c r="B20" s="27" t="n">
        <f aca="false">Inputs!$B$4/(Inputs!$B$18*12)</f>
        <v>15.6218144750255</v>
      </c>
      <c r="C20" s="8" t="s">
        <v>75</v>
      </c>
    </row>
    <row r="21" customFormat="false" ht="15" hidden="false" customHeight="true" outlineLevel="0" collapsed="false">
      <c r="A21" s="12" t="s">
        <v>76</v>
      </c>
      <c r="B21" s="28" t="n">
        <f aca="false">IF(Model!D5=0,0,(Model!D5-(Model!C4-Model!C5))/Model!D5)</f>
        <v>0.882805378027077</v>
      </c>
      <c r="C21" s="8" t="s">
        <v>77</v>
      </c>
    </row>
    <row r="23" customFormat="false" ht="15" hidden="false" customHeight="true" outlineLevel="0" collapsed="false">
      <c r="A23" s="10" t="s">
        <v>78</v>
      </c>
      <c r="B23" s="11"/>
      <c r="C23" s="11"/>
    </row>
    <row r="24" customFormat="false" ht="31.5" hidden="false" customHeight="true" outlineLevel="0" collapsed="false">
      <c r="A24" s="29" t="s">
        <v>79</v>
      </c>
      <c r="B24" s="29"/>
      <c r="C24" s="29"/>
    </row>
    <row r="25" customFormat="false" ht="31.5" hidden="false" customHeight="true" outlineLevel="0" collapsed="false">
      <c r="A25" s="29" t="s">
        <v>80</v>
      </c>
      <c r="B25" s="29"/>
      <c r="C25" s="29"/>
    </row>
    <row r="26" customFormat="false" ht="31.5" hidden="false" customHeight="true" outlineLevel="0" collapsed="false">
      <c r="A26" s="29" t="s">
        <v>81</v>
      </c>
      <c r="B26" s="29"/>
      <c r="C26" s="29"/>
    </row>
    <row r="27" customFormat="false" ht="31.5" hidden="false" customHeight="true" outlineLevel="0" collapsed="false">
      <c r="A27" s="29" t="s">
        <v>82</v>
      </c>
      <c r="B27" s="29"/>
      <c r="C27" s="29"/>
    </row>
    <row r="29" customFormat="false" ht="15" hidden="false" customHeight="true" outlineLevel="0" collapsed="false">
      <c r="A29" s="16" t="s">
        <v>83</v>
      </c>
    </row>
  </sheetData>
  <mergeCells count="5">
    <mergeCell ref="A12:C12"/>
    <mergeCell ref="A24:C24"/>
    <mergeCell ref="A25:C25"/>
    <mergeCell ref="A26:C26"/>
    <mergeCell ref="A27:C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9" min="2" style="1" width="13"/>
  </cols>
  <sheetData>
    <row r="1" customFormat="false" ht="15" hidden="false" customHeight="true" outlineLevel="0" collapsed="false">
      <c r="A1" s="30" t="s">
        <v>84</v>
      </c>
    </row>
    <row r="2" customFormat="false" ht="15" hidden="false" customHeight="true" outlineLevel="0" collapsed="false">
      <c r="A2" s="16" t="s">
        <v>85</v>
      </c>
    </row>
    <row r="4" customFormat="false" ht="15" hidden="false" customHeight="true" outlineLevel="0" collapsed="false">
      <c r="A4" s="10" t="s">
        <v>86</v>
      </c>
      <c r="B4" s="11"/>
      <c r="C4" s="11"/>
      <c r="D4" s="11"/>
      <c r="E4" s="11"/>
      <c r="F4" s="11"/>
      <c r="G4" s="11"/>
      <c r="H4" s="11"/>
    </row>
    <row r="5" customFormat="false" ht="15" hidden="false" customHeight="true" outlineLevel="0" collapsed="false">
      <c r="A5" s="22" t="s">
        <v>87</v>
      </c>
      <c r="B5" s="15" t="n">
        <v>0</v>
      </c>
      <c r="C5" s="15" t="n">
        <v>0.01</v>
      </c>
      <c r="D5" s="15" t="n">
        <v>0.02</v>
      </c>
      <c r="E5" s="15" t="n">
        <v>0.03</v>
      </c>
      <c r="F5" s="15" t="n">
        <v>0.04</v>
      </c>
      <c r="G5" s="15" t="n">
        <v>0.05</v>
      </c>
      <c r="H5" s="15" t="n">
        <v>0.06</v>
      </c>
    </row>
    <row r="6" customFormat="false" ht="15" hidden="false" customHeight="true" outlineLevel="0" collapsed="false">
      <c r="A6" s="22" t="s">
        <v>88</v>
      </c>
      <c r="B6" s="31" t="str">
        <f aca="false">IF(B264="","Never",B264)</f>
        <v>Never</v>
      </c>
      <c r="C6" s="31" t="str">
        <f aca="false">IF(C264="","Never",C264)</f>
        <v>Never</v>
      </c>
      <c r="D6" s="31" t="str">
        <f aca="false">IF(D264="","Never",D264)</f>
        <v>Never</v>
      </c>
      <c r="E6" s="31" t="n">
        <f aca="false">IF(E264="","Never",E264)</f>
        <v>30</v>
      </c>
      <c r="F6" s="31" t="n">
        <f aca="false">IF(F264="","Never",F264)</f>
        <v>12</v>
      </c>
      <c r="G6" s="31" t="n">
        <f aca="false">IF(G264="","Never",G264)</f>
        <v>6</v>
      </c>
      <c r="H6" s="31" t="n">
        <f aca="false">IF(H264="","Never",H264)</f>
        <v>4</v>
      </c>
    </row>
    <row r="7" customFormat="false" ht="15" hidden="false" customHeight="true" outlineLevel="0" collapsed="false">
      <c r="A7" s="22" t="s">
        <v>60</v>
      </c>
      <c r="B7" s="24" t="n">
        <f aca="false">INDEX(B202:B232,Inputs!$B$24+1)</f>
        <v>-138635.369748361</v>
      </c>
      <c r="C7" s="24" t="n">
        <f aca="false">INDEX(C202:C232,Inputs!$B$24+1)</f>
        <v>-111666.451596484</v>
      </c>
      <c r="D7" s="24" t="n">
        <f aca="false">INDEX(D202:D232,Inputs!$B$24+1)</f>
        <v>-82985.730688801</v>
      </c>
      <c r="E7" s="24" t="n">
        <f aca="false">INDEX(E202:E232,Inputs!$B$24+1)</f>
        <v>-52505.3241227269</v>
      </c>
      <c r="F7" s="24" t="n">
        <f aca="false">INDEX(F202:F232,Inputs!$B$24+1)</f>
        <v>-20133.8009660985</v>
      </c>
      <c r="G7" s="24" t="n">
        <f aca="false">INDEX(G202:G232,Inputs!$B$24+1)</f>
        <v>14223.9237584149</v>
      </c>
      <c r="H7" s="24" t="n">
        <f aca="false">INDEX(H202:H232,Inputs!$B$24+1)</f>
        <v>50666.6971763077</v>
      </c>
    </row>
    <row r="8" customFormat="false" ht="15" hidden="false" customHeight="true" outlineLevel="0" collapsed="false">
      <c r="A8" s="16" t="s">
        <v>89</v>
      </c>
      <c r="B8" s="32" t="str">
        <f aca="false">IF(ROUND(B5,4)=ROUND(Inputs!$B$13,4),"&lt;- your input","")</f>
        <v/>
      </c>
      <c r="C8" s="32" t="str">
        <f aca="false">IF(ROUND(C5,4)=ROUND(Inputs!$B$13,4),"&lt;- your input","")</f>
        <v/>
      </c>
      <c r="D8" s="32" t="str">
        <f aca="false">IF(ROUND(D5,4)=ROUND(Inputs!$B$13,4),"&lt;- your input","")</f>
        <v/>
      </c>
      <c r="E8" s="32" t="str">
        <f aca="false">IF(ROUND(E5,4)=ROUND(Inputs!$B$13,4),"&lt;- your input","")</f>
        <v>&lt;- your input</v>
      </c>
      <c r="F8" s="32" t="str">
        <f aca="false">IF(ROUND(F5,4)=ROUND(Inputs!$B$13,4),"&lt;- your input","")</f>
        <v/>
      </c>
      <c r="G8" s="32" t="str">
        <f aca="false">IF(ROUND(G5,4)=ROUND(Inputs!$B$13,4),"&lt;- your input","")</f>
        <v/>
      </c>
      <c r="H8" s="32" t="str">
        <f aca="false">IF(ROUND(H5,4)=ROUND(Inputs!$B$13,4),"&lt;- your input","")</f>
        <v/>
      </c>
    </row>
    <row r="9" customFormat="false" ht="15" hidden="true" customHeight="true" outlineLevel="0" collapsed="false">
      <c r="A9" s="16" t="s">
        <v>90</v>
      </c>
    </row>
    <row r="10" customFormat="false" ht="15" hidden="true" customHeight="true" outlineLevel="0" collapsed="false">
      <c r="A10" s="33" t="s">
        <v>91</v>
      </c>
      <c r="B10" s="34" t="n">
        <f aca="false">Inputs!$B$4</f>
        <v>429100</v>
      </c>
      <c r="C10" s="34" t="n">
        <f aca="false">Inputs!$B$4</f>
        <v>429100</v>
      </c>
      <c r="D10" s="34" t="n">
        <f aca="false">Inputs!$B$4</f>
        <v>429100</v>
      </c>
      <c r="E10" s="34" t="n">
        <f aca="false">Inputs!$B$4</f>
        <v>429100</v>
      </c>
      <c r="F10" s="34" t="n">
        <f aca="false">Inputs!$B$4</f>
        <v>429100</v>
      </c>
      <c r="G10" s="34" t="n">
        <f aca="false">Inputs!$B$4</f>
        <v>429100</v>
      </c>
      <c r="H10" s="34" t="n">
        <f aca="false">Inputs!$B$4</f>
        <v>429100</v>
      </c>
    </row>
    <row r="11" customFormat="false" ht="15" hidden="true" customHeight="true" outlineLevel="0" collapsed="false">
      <c r="B11" s="34" t="n">
        <f aca="false">B10*(1+B$5)</f>
        <v>429100</v>
      </c>
      <c r="C11" s="34" t="n">
        <f aca="false">C10*(1+C$5)</f>
        <v>433391</v>
      </c>
      <c r="D11" s="34" t="n">
        <f aca="false">D10*(1+D$5)</f>
        <v>437682</v>
      </c>
      <c r="E11" s="34" t="n">
        <f aca="false">E10*(1+E$5)</f>
        <v>441973</v>
      </c>
      <c r="F11" s="34" t="n">
        <f aca="false">F10*(1+F$5)</f>
        <v>446264</v>
      </c>
      <c r="G11" s="34" t="n">
        <f aca="false">G10*(1+G$5)</f>
        <v>450555</v>
      </c>
      <c r="H11" s="34" t="n">
        <f aca="false">H10*(1+H$5)</f>
        <v>454846</v>
      </c>
    </row>
    <row r="12" customFormat="false" ht="15" hidden="true" customHeight="true" outlineLevel="0" collapsed="false">
      <c r="B12" s="34" t="n">
        <f aca="false">B11*(1+B$5)</f>
        <v>429100</v>
      </c>
      <c r="C12" s="34" t="n">
        <f aca="false">C11*(1+C$5)</f>
        <v>437724.91</v>
      </c>
      <c r="D12" s="34" t="n">
        <f aca="false">D11*(1+D$5)</f>
        <v>446435.64</v>
      </c>
      <c r="E12" s="34" t="n">
        <f aca="false">E11*(1+E$5)</f>
        <v>455232.19</v>
      </c>
      <c r="F12" s="34" t="n">
        <f aca="false">F11*(1+F$5)</f>
        <v>464114.56</v>
      </c>
      <c r="G12" s="34" t="n">
        <f aca="false">G11*(1+G$5)</f>
        <v>473082.75</v>
      </c>
      <c r="H12" s="34" t="n">
        <f aca="false">H11*(1+H$5)</f>
        <v>482136.76</v>
      </c>
    </row>
    <row r="13" customFormat="false" ht="15" hidden="true" customHeight="true" outlineLevel="0" collapsed="false">
      <c r="B13" s="34" t="n">
        <f aca="false">B12*(1+B$5)</f>
        <v>429100</v>
      </c>
      <c r="C13" s="34" t="n">
        <f aca="false">C12*(1+C$5)</f>
        <v>442102.1591</v>
      </c>
      <c r="D13" s="34" t="n">
        <f aca="false">D12*(1+D$5)</f>
        <v>455364.3528</v>
      </c>
      <c r="E13" s="34" t="n">
        <f aca="false">E12*(1+E$5)</f>
        <v>468889.1557</v>
      </c>
      <c r="F13" s="34" t="n">
        <f aca="false">F12*(1+F$5)</f>
        <v>482679.1424</v>
      </c>
      <c r="G13" s="34" t="n">
        <f aca="false">G12*(1+G$5)</f>
        <v>496736.8875</v>
      </c>
      <c r="H13" s="34" t="n">
        <f aca="false">H12*(1+H$5)</f>
        <v>511064.9656</v>
      </c>
    </row>
    <row r="14" customFormat="false" ht="15" hidden="true" customHeight="true" outlineLevel="0" collapsed="false">
      <c r="B14" s="34" t="n">
        <f aca="false">B13*(1+B$5)</f>
        <v>429100</v>
      </c>
      <c r="C14" s="34" t="n">
        <f aca="false">C13*(1+C$5)</f>
        <v>446523.180691</v>
      </c>
      <c r="D14" s="34" t="n">
        <f aca="false">D13*(1+D$5)</f>
        <v>464471.639856</v>
      </c>
      <c r="E14" s="34" t="n">
        <f aca="false">E13*(1+E$5)</f>
        <v>482955.830371</v>
      </c>
      <c r="F14" s="34" t="n">
        <f aca="false">F13*(1+F$5)</f>
        <v>501986.308096</v>
      </c>
      <c r="G14" s="34" t="n">
        <f aca="false">G13*(1+G$5)</f>
        <v>521573.731875</v>
      </c>
      <c r="H14" s="34" t="n">
        <f aca="false">H13*(1+H$5)</f>
        <v>541728.863536</v>
      </c>
    </row>
    <row r="15" customFormat="false" ht="15" hidden="true" customHeight="true" outlineLevel="0" collapsed="false">
      <c r="B15" s="34" t="n">
        <f aca="false">B14*(1+B$5)</f>
        <v>429100</v>
      </c>
      <c r="C15" s="34" t="n">
        <f aca="false">C14*(1+C$5)</f>
        <v>450988.41249791</v>
      </c>
      <c r="D15" s="34" t="n">
        <f aca="false">D14*(1+D$5)</f>
        <v>473761.07265312</v>
      </c>
      <c r="E15" s="34" t="n">
        <f aca="false">E14*(1+E$5)</f>
        <v>497444.50528213</v>
      </c>
      <c r="F15" s="34" t="n">
        <f aca="false">F14*(1+F$5)</f>
        <v>522065.76041984</v>
      </c>
      <c r="G15" s="34" t="n">
        <f aca="false">G14*(1+G$5)</f>
        <v>547652.41846875</v>
      </c>
      <c r="H15" s="34" t="n">
        <f aca="false">H14*(1+H$5)</f>
        <v>574232.59534816</v>
      </c>
    </row>
    <row r="16" customFormat="false" ht="15" hidden="true" customHeight="true" outlineLevel="0" collapsed="false">
      <c r="B16" s="34" t="n">
        <f aca="false">B15*(1+B$5)</f>
        <v>429100</v>
      </c>
      <c r="C16" s="34" t="n">
        <f aca="false">C15*(1+C$5)</f>
        <v>455498.296622889</v>
      </c>
      <c r="D16" s="34" t="n">
        <f aca="false">D15*(1+D$5)</f>
        <v>483236.294106182</v>
      </c>
      <c r="E16" s="34" t="n">
        <f aca="false">E15*(1+E$5)</f>
        <v>512367.840440594</v>
      </c>
      <c r="F16" s="34" t="n">
        <f aca="false">F15*(1+F$5)</f>
        <v>542948.390836634</v>
      </c>
      <c r="G16" s="34" t="n">
        <f aca="false">G15*(1+G$5)</f>
        <v>575035.039392188</v>
      </c>
      <c r="H16" s="34" t="n">
        <f aca="false">H15*(1+H$5)</f>
        <v>608686.55106905</v>
      </c>
    </row>
    <row r="17" customFormat="false" ht="15" hidden="true" customHeight="true" outlineLevel="0" collapsed="false">
      <c r="B17" s="34" t="n">
        <f aca="false">B16*(1+B$5)</f>
        <v>429100</v>
      </c>
      <c r="C17" s="34" t="n">
        <f aca="false">C16*(1+C$5)</f>
        <v>460053.279589118</v>
      </c>
      <c r="D17" s="34" t="n">
        <f aca="false">D16*(1+D$5)</f>
        <v>492901.019988306</v>
      </c>
      <c r="E17" s="34" t="n">
        <f aca="false">E16*(1+E$5)</f>
        <v>527738.875653812</v>
      </c>
      <c r="F17" s="34" t="n">
        <f aca="false">F16*(1+F$5)</f>
        <v>564666.326470099</v>
      </c>
      <c r="G17" s="34" t="n">
        <f aca="false">G16*(1+G$5)</f>
        <v>603786.791361797</v>
      </c>
      <c r="H17" s="34" t="n">
        <f aca="false">H16*(1+H$5)</f>
        <v>645207.744133193</v>
      </c>
    </row>
    <row r="18" customFormat="false" ht="15" hidden="true" customHeight="true" outlineLevel="0" collapsed="false">
      <c r="B18" s="34" t="n">
        <f aca="false">B17*(1+B$5)</f>
        <v>429100</v>
      </c>
      <c r="C18" s="34" t="n">
        <f aca="false">C17*(1+C$5)</f>
        <v>464653.812385009</v>
      </c>
      <c r="D18" s="34" t="n">
        <f aca="false">D17*(1+D$5)</f>
        <v>502759.040388072</v>
      </c>
      <c r="E18" s="34" t="n">
        <f aca="false">E17*(1+E$5)</f>
        <v>543571.041923426</v>
      </c>
      <c r="F18" s="34" t="n">
        <f aca="false">F17*(1+F$5)</f>
        <v>587252.979528903</v>
      </c>
      <c r="G18" s="34" t="n">
        <f aca="false">G17*(1+G$5)</f>
        <v>633976.130929887</v>
      </c>
      <c r="H18" s="34" t="n">
        <f aca="false">H17*(1+H$5)</f>
        <v>683920.208781184</v>
      </c>
    </row>
    <row r="19" customFormat="false" ht="15" hidden="true" customHeight="true" outlineLevel="0" collapsed="false">
      <c r="B19" s="34" t="n">
        <f aca="false">B18*(1+B$5)</f>
        <v>429100</v>
      </c>
      <c r="C19" s="34" t="n">
        <f aca="false">C18*(1+C$5)</f>
        <v>469300.350508859</v>
      </c>
      <c r="D19" s="34" t="n">
        <f aca="false">D18*(1+D$5)</f>
        <v>512814.221195834</v>
      </c>
      <c r="E19" s="34" t="n">
        <f aca="false">E18*(1+E$5)</f>
        <v>559878.173181129</v>
      </c>
      <c r="F19" s="34" t="n">
        <f aca="false">F18*(1+F$5)</f>
        <v>610743.098710059</v>
      </c>
      <c r="G19" s="34" t="n">
        <f aca="false">G18*(1+G$5)</f>
        <v>665674.937476381</v>
      </c>
      <c r="H19" s="34" t="n">
        <f aca="false">H18*(1+H$5)</f>
        <v>724955.421308056</v>
      </c>
    </row>
    <row r="20" customFormat="false" ht="15" hidden="true" customHeight="true" outlineLevel="0" collapsed="false">
      <c r="B20" s="34" t="n">
        <f aca="false">B19*(1+B$5)</f>
        <v>429100</v>
      </c>
      <c r="C20" s="34" t="n">
        <f aca="false">C19*(1+C$5)</f>
        <v>473993.354013948</v>
      </c>
      <c r="D20" s="34" t="n">
        <f aca="false">D19*(1+D$5)</f>
        <v>523070.50561975</v>
      </c>
      <c r="E20" s="34" t="n">
        <f aca="false">E19*(1+E$5)</f>
        <v>576674.518376563</v>
      </c>
      <c r="F20" s="34" t="n">
        <f aca="false">F19*(1+F$5)</f>
        <v>635172.822658462</v>
      </c>
      <c r="G20" s="34" t="n">
        <f aca="false">G19*(1+G$5)</f>
        <v>698958.684350201</v>
      </c>
      <c r="H20" s="34" t="n">
        <f aca="false">H19*(1+H$5)</f>
        <v>768452.746586539</v>
      </c>
    </row>
    <row r="21" customFormat="false" ht="15" hidden="true" customHeight="true" outlineLevel="0" collapsed="false">
      <c r="B21" s="34" t="n">
        <f aca="false">B20*(1+B$5)</f>
        <v>429100</v>
      </c>
      <c r="C21" s="34" t="n">
        <f aca="false">C20*(1+C$5)</f>
        <v>478733.287554087</v>
      </c>
      <c r="D21" s="34" t="n">
        <f aca="false">D20*(1+D$5)</f>
        <v>533531.915732145</v>
      </c>
      <c r="E21" s="34" t="n">
        <f aca="false">E20*(1+E$5)</f>
        <v>593974.75392786</v>
      </c>
      <c r="F21" s="34" t="n">
        <f aca="false">F20*(1+F$5)</f>
        <v>660579.7355648</v>
      </c>
      <c r="G21" s="34" t="n">
        <f aca="false">G20*(1+G$5)</f>
        <v>733906.618567711</v>
      </c>
      <c r="H21" s="34" t="n">
        <f aca="false">H20*(1+H$5)</f>
        <v>814559.911381731</v>
      </c>
    </row>
    <row r="22" customFormat="false" ht="15" hidden="true" customHeight="true" outlineLevel="0" collapsed="false">
      <c r="B22" s="34" t="n">
        <f aca="false">B21*(1+B$5)</f>
        <v>429100</v>
      </c>
      <c r="C22" s="34" t="n">
        <f aca="false">C21*(1+C$5)</f>
        <v>483520.620429628</v>
      </c>
      <c r="D22" s="34" t="n">
        <f aca="false">D21*(1+D$5)</f>
        <v>544202.554046788</v>
      </c>
      <c r="E22" s="34" t="n">
        <f aca="false">E21*(1+E$5)</f>
        <v>611793.996545696</v>
      </c>
      <c r="F22" s="34" t="n">
        <f aca="false">F21*(1+F$5)</f>
        <v>687002.924987392</v>
      </c>
      <c r="G22" s="34" t="n">
        <f aca="false">G21*(1+G$5)</f>
        <v>770601.949496096</v>
      </c>
      <c r="H22" s="34" t="n">
        <f aca="false">H21*(1+H$5)</f>
        <v>863433.506064635</v>
      </c>
    </row>
    <row r="23" customFormat="false" ht="15" hidden="true" customHeight="true" outlineLevel="0" collapsed="false">
      <c r="B23" s="34" t="n">
        <f aca="false">B22*(1+B$5)</f>
        <v>429100</v>
      </c>
      <c r="C23" s="34" t="n">
        <f aca="false">C22*(1+C$5)</f>
        <v>488355.826633925</v>
      </c>
      <c r="D23" s="34" t="n">
        <f aca="false">D22*(1+D$5)</f>
        <v>555086.605127724</v>
      </c>
      <c r="E23" s="34" t="n">
        <f aca="false">E22*(1+E$5)</f>
        <v>630147.816442066</v>
      </c>
      <c r="F23" s="34" t="n">
        <f aca="false">F22*(1+F$5)</f>
        <v>714483.041986888</v>
      </c>
      <c r="G23" s="34" t="n">
        <f aca="false">G22*(1+G$5)</f>
        <v>809132.046970901</v>
      </c>
      <c r="H23" s="34" t="n">
        <f aca="false">H22*(1+H$5)</f>
        <v>915239.516428514</v>
      </c>
    </row>
    <row r="24" customFormat="false" ht="15" hidden="true" customHeight="true" outlineLevel="0" collapsed="false">
      <c r="B24" s="34" t="n">
        <f aca="false">B23*(1+B$5)</f>
        <v>429100</v>
      </c>
      <c r="C24" s="34" t="n">
        <f aca="false">C23*(1+C$5)</f>
        <v>493239.384900264</v>
      </c>
      <c r="D24" s="34" t="n">
        <f aca="false">D23*(1+D$5)</f>
        <v>566188.337230279</v>
      </c>
      <c r="E24" s="34" t="n">
        <f aca="false">E23*(1+E$5)</f>
        <v>649052.250935328</v>
      </c>
      <c r="F24" s="34" t="n">
        <f aca="false">F23*(1+F$5)</f>
        <v>743062.363666363</v>
      </c>
      <c r="G24" s="34" t="n">
        <f aca="false">G23*(1+G$5)</f>
        <v>849588.649319446</v>
      </c>
      <c r="H24" s="34" t="n">
        <f aca="false">H23*(1+H$5)</f>
        <v>970153.887414224</v>
      </c>
    </row>
    <row r="25" customFormat="false" ht="15" hidden="true" customHeight="true" outlineLevel="0" collapsed="false">
      <c r="B25" s="34" t="n">
        <f aca="false">B24*(1+B$5)</f>
        <v>429100</v>
      </c>
      <c r="C25" s="34" t="n">
        <f aca="false">C24*(1+C$5)</f>
        <v>498171.778749266</v>
      </c>
      <c r="D25" s="34" t="n">
        <f aca="false">D24*(1+D$5)</f>
        <v>577512.103974884</v>
      </c>
      <c r="E25" s="34" t="n">
        <f aca="false">E24*(1+E$5)</f>
        <v>668523.818463388</v>
      </c>
      <c r="F25" s="34" t="n">
        <f aca="false">F24*(1+F$5)</f>
        <v>772784.858213018</v>
      </c>
      <c r="G25" s="34" t="n">
        <f aca="false">G24*(1+G$5)</f>
        <v>892068.081785418</v>
      </c>
      <c r="H25" s="34" t="n">
        <f aca="false">H24*(1+H$5)</f>
        <v>1028363.12065908</v>
      </c>
    </row>
    <row r="26" customFormat="false" ht="15" hidden="true" customHeight="true" outlineLevel="0" collapsed="false">
      <c r="B26" s="34" t="n">
        <f aca="false">B25*(1+B$5)</f>
        <v>429100</v>
      </c>
      <c r="C26" s="34" t="n">
        <f aca="false">C25*(1+C$5)</f>
        <v>503153.496536759</v>
      </c>
      <c r="D26" s="34" t="n">
        <f aca="false">D25*(1+D$5)</f>
        <v>589062.346054382</v>
      </c>
      <c r="E26" s="34" t="n">
        <f aca="false">E25*(1+E$5)</f>
        <v>688579.53301729</v>
      </c>
      <c r="F26" s="34" t="n">
        <f aca="false">F25*(1+F$5)</f>
        <v>803696.252541539</v>
      </c>
      <c r="G26" s="34" t="n">
        <f aca="false">G25*(1+G$5)</f>
        <v>936671.485874689</v>
      </c>
      <c r="H26" s="34" t="n">
        <f aca="false">H25*(1+H$5)</f>
        <v>1090064.90789862</v>
      </c>
    </row>
    <row r="27" customFormat="false" ht="15" hidden="true" customHeight="true" outlineLevel="0" collapsed="false">
      <c r="B27" s="34" t="n">
        <f aca="false">B26*(1+B$5)</f>
        <v>429100</v>
      </c>
      <c r="C27" s="34" t="n">
        <f aca="false">C26*(1+C$5)</f>
        <v>508185.031502127</v>
      </c>
      <c r="D27" s="34" t="n">
        <f aca="false">D26*(1+D$5)</f>
        <v>600843.59297547</v>
      </c>
      <c r="E27" s="34" t="n">
        <f aca="false">E26*(1+E$5)</f>
        <v>709236.919007809</v>
      </c>
      <c r="F27" s="34" t="n">
        <f aca="false">F26*(1+F$5)</f>
        <v>835844.1026432</v>
      </c>
      <c r="G27" s="34" t="n">
        <f aca="false">G26*(1+G$5)</f>
        <v>983505.060168424</v>
      </c>
      <c r="H27" s="34" t="n">
        <f aca="false">H26*(1+H$5)</f>
        <v>1155468.80237254</v>
      </c>
    </row>
    <row r="28" customFormat="false" ht="15" hidden="true" customHeight="true" outlineLevel="0" collapsed="false">
      <c r="B28" s="34" t="n">
        <f aca="false">B27*(1+B$5)</f>
        <v>429100</v>
      </c>
      <c r="C28" s="34" t="n">
        <f aca="false">C27*(1+C$5)</f>
        <v>513266.881817148</v>
      </c>
      <c r="D28" s="34" t="n">
        <f aca="false">D27*(1+D$5)</f>
        <v>612860.464834979</v>
      </c>
      <c r="E28" s="34" t="n">
        <f aca="false">E27*(1+E$5)</f>
        <v>730514.026578043</v>
      </c>
      <c r="F28" s="34" t="n">
        <f aca="false">F27*(1+F$5)</f>
        <v>869277.866748928</v>
      </c>
      <c r="G28" s="34" t="n">
        <f aca="false">G27*(1+G$5)</f>
        <v>1032680.31317685</v>
      </c>
      <c r="H28" s="34" t="n">
        <f aca="false">H27*(1+H$5)</f>
        <v>1224796.93051489</v>
      </c>
    </row>
    <row r="29" customFormat="false" ht="15" hidden="true" customHeight="true" outlineLevel="0" collapsed="false">
      <c r="B29" s="34" t="n">
        <f aca="false">B28*(1+B$5)</f>
        <v>429100</v>
      </c>
      <c r="C29" s="34" t="n">
        <f aca="false">C28*(1+C$5)</f>
        <v>518399.55063532</v>
      </c>
      <c r="D29" s="34" t="n">
        <f aca="false">D28*(1+D$5)</f>
        <v>625117.674131679</v>
      </c>
      <c r="E29" s="34" t="n">
        <f aca="false">E28*(1+E$5)</f>
        <v>752429.447375384</v>
      </c>
      <c r="F29" s="34" t="n">
        <f aca="false">F28*(1+F$5)</f>
        <v>904048.981418885</v>
      </c>
      <c r="G29" s="34" t="n">
        <f aca="false">G28*(1+G$5)</f>
        <v>1084314.32883569</v>
      </c>
      <c r="H29" s="34" t="n">
        <f aca="false">H28*(1+H$5)</f>
        <v>1298284.74634579</v>
      </c>
    </row>
    <row r="30" customFormat="false" ht="15" hidden="true" customHeight="true" outlineLevel="0" collapsed="false">
      <c r="B30" s="34" t="n">
        <f aca="false">B29*(1+B$5)</f>
        <v>429100</v>
      </c>
      <c r="C30" s="34" t="n">
        <f aca="false">C29*(1+C$5)</f>
        <v>523583.546141673</v>
      </c>
      <c r="D30" s="34" t="n">
        <f aca="false">D29*(1+D$5)</f>
        <v>637620.027614312</v>
      </c>
      <c r="E30" s="34" t="n">
        <f aca="false">E29*(1+E$5)</f>
        <v>775002.330796646</v>
      </c>
      <c r="F30" s="34" t="n">
        <f aca="false">F29*(1+F$5)</f>
        <v>940210.940675641</v>
      </c>
      <c r="G30" s="34" t="n">
        <f aca="false">G29*(1+G$5)</f>
        <v>1138530.04527747</v>
      </c>
      <c r="H30" s="34" t="n">
        <f aca="false">H29*(1+H$5)</f>
        <v>1376181.83112653</v>
      </c>
    </row>
    <row r="31" customFormat="false" ht="15" hidden="true" customHeight="true" outlineLevel="0" collapsed="false">
      <c r="B31" s="34" t="n">
        <f aca="false">B30*(1+B$5)</f>
        <v>429100</v>
      </c>
      <c r="C31" s="34" t="n">
        <f aca="false">C30*(1+C$5)</f>
        <v>528819.381603089</v>
      </c>
      <c r="D31" s="34" t="n">
        <f aca="false">D30*(1+D$5)</f>
        <v>650372.428166598</v>
      </c>
      <c r="E31" s="34" t="n">
        <f aca="false">E30*(1+E$5)</f>
        <v>798252.400720545</v>
      </c>
      <c r="F31" s="34" t="n">
        <f aca="false">F30*(1+F$5)</f>
        <v>977819.378302666</v>
      </c>
      <c r="G31" s="34" t="n">
        <f aca="false">G30*(1+G$5)</f>
        <v>1195456.54754135</v>
      </c>
      <c r="H31" s="34" t="n">
        <f aca="false">H30*(1+H$5)</f>
        <v>1458752.74099413</v>
      </c>
    </row>
    <row r="32" customFormat="false" ht="15" hidden="true" customHeight="true" outlineLevel="0" collapsed="false">
      <c r="B32" s="34" t="n">
        <f aca="false">B31*(1+B$5)</f>
        <v>429100</v>
      </c>
      <c r="C32" s="34" t="n">
        <f aca="false">C31*(1+C$5)</f>
        <v>534107.57541912</v>
      </c>
      <c r="D32" s="34" t="n">
        <f aca="false">D31*(1+D$5)</f>
        <v>663379.87672993</v>
      </c>
      <c r="E32" s="34" t="n">
        <f aca="false">E31*(1+E$5)</f>
        <v>822199.972742161</v>
      </c>
      <c r="F32" s="34" t="n">
        <f aca="false">F31*(1+F$5)</f>
        <v>1016932.15343477</v>
      </c>
      <c r="G32" s="34" t="n">
        <f aca="false">G31*(1+G$5)</f>
        <v>1255229.37491841</v>
      </c>
      <c r="H32" s="34" t="n">
        <f aca="false">H31*(1+H$5)</f>
        <v>1546277.90545377</v>
      </c>
    </row>
    <row r="33" customFormat="false" ht="15" hidden="true" customHeight="true" outlineLevel="0" collapsed="false">
      <c r="B33" s="34" t="n">
        <f aca="false">B32*(1+B$5)</f>
        <v>429100</v>
      </c>
      <c r="C33" s="34" t="n">
        <f aca="false">C32*(1+C$5)</f>
        <v>539448.651173312</v>
      </c>
      <c r="D33" s="34" t="n">
        <f aca="false">D32*(1+D$5)</f>
        <v>676647.474264529</v>
      </c>
      <c r="E33" s="34" t="n">
        <f aca="false">E32*(1+E$5)</f>
        <v>846865.971924426</v>
      </c>
      <c r="F33" s="34" t="n">
        <f aca="false">F32*(1+F$5)</f>
        <v>1057609.43957216</v>
      </c>
      <c r="G33" s="34" t="n">
        <f aca="false">G32*(1+G$5)</f>
        <v>1317990.84366433</v>
      </c>
      <c r="H33" s="34" t="n">
        <f aca="false">H32*(1+H$5)</f>
        <v>1639054.579781</v>
      </c>
    </row>
    <row r="34" customFormat="false" ht="15" hidden="true" customHeight="true" outlineLevel="0" collapsed="false">
      <c r="B34" s="34" t="n">
        <f aca="false">B33*(1+B$5)</f>
        <v>429100</v>
      </c>
      <c r="C34" s="34" t="n">
        <f aca="false">C33*(1+C$5)</f>
        <v>544843.137685045</v>
      </c>
      <c r="D34" s="34" t="n">
        <f aca="false">D33*(1+D$5)</f>
        <v>690180.42374982</v>
      </c>
      <c r="E34" s="34" t="n">
        <f aca="false">E33*(1+E$5)</f>
        <v>872271.951082159</v>
      </c>
      <c r="F34" s="34" t="n">
        <f aca="false">F33*(1+F$5)</f>
        <v>1099913.81715505</v>
      </c>
      <c r="G34" s="34" t="n">
        <f aca="false">G33*(1+G$5)</f>
        <v>1383890.38584755</v>
      </c>
      <c r="H34" s="34" t="n">
        <f aca="false">H33*(1+H$5)</f>
        <v>1737397.85456786</v>
      </c>
    </row>
    <row r="35" customFormat="false" ht="15" hidden="true" customHeight="true" outlineLevel="0" collapsed="false">
      <c r="B35" s="34" t="n">
        <f aca="false">B34*(1+B$5)</f>
        <v>429100</v>
      </c>
      <c r="C35" s="34" t="n">
        <f aca="false">C34*(1+C$5)</f>
        <v>550291.569061895</v>
      </c>
      <c r="D35" s="34" t="n">
        <f aca="false">D34*(1+D$5)</f>
        <v>703984.032224816</v>
      </c>
      <c r="E35" s="34" t="n">
        <f aca="false">E34*(1+E$5)</f>
        <v>898440.109614624</v>
      </c>
      <c r="F35" s="34" t="n">
        <f aca="false">F34*(1+F$5)</f>
        <v>1143910.36984125</v>
      </c>
      <c r="G35" s="34" t="n">
        <f aca="false">G34*(1+G$5)</f>
        <v>1453084.90513993</v>
      </c>
      <c r="H35" s="34" t="n">
        <f aca="false">H34*(1+H$5)</f>
        <v>1841641.72584193</v>
      </c>
    </row>
    <row r="36" customFormat="false" ht="15" hidden="true" customHeight="true" outlineLevel="0" collapsed="false">
      <c r="B36" s="34" t="n">
        <f aca="false">B35*(1+B$5)</f>
        <v>429100</v>
      </c>
      <c r="C36" s="34" t="n">
        <f aca="false">C35*(1+C$5)</f>
        <v>555794.484752514</v>
      </c>
      <c r="D36" s="34" t="n">
        <f aca="false">D35*(1+D$5)</f>
        <v>718063.712869312</v>
      </c>
      <c r="E36" s="34" t="n">
        <f aca="false">E35*(1+E$5)</f>
        <v>925393.312903063</v>
      </c>
      <c r="F36" s="34" t="n">
        <f aca="false">F35*(1+F$5)</f>
        <v>1189666.7846349</v>
      </c>
      <c r="G36" s="34" t="n">
        <f aca="false">G35*(1+G$5)</f>
        <v>1525739.15039692</v>
      </c>
      <c r="H36" s="34" t="n">
        <f aca="false">H35*(1+H$5)</f>
        <v>1952140.22939245</v>
      </c>
    </row>
    <row r="37" customFormat="false" ht="15" hidden="true" customHeight="true" outlineLevel="0" collapsed="false">
      <c r="B37" s="34" t="n">
        <f aca="false">B36*(1+B$5)</f>
        <v>429100</v>
      </c>
      <c r="C37" s="34" t="n">
        <f aca="false">C36*(1+C$5)</f>
        <v>561352.429600039</v>
      </c>
      <c r="D37" s="34" t="n">
        <f aca="false">D36*(1+D$5)</f>
        <v>732424.987126699</v>
      </c>
      <c r="E37" s="34" t="n">
        <f aca="false">E36*(1+E$5)</f>
        <v>953155.112290154</v>
      </c>
      <c r="F37" s="34" t="n">
        <f aca="false">F36*(1+F$5)</f>
        <v>1237253.4560203</v>
      </c>
      <c r="G37" s="34" t="n">
        <f aca="false">G36*(1+G$5)</f>
        <v>1602026.10791677</v>
      </c>
      <c r="H37" s="34" t="n">
        <f aca="false">H36*(1+H$5)</f>
        <v>2069268.64315599</v>
      </c>
    </row>
    <row r="38" customFormat="false" ht="15" hidden="true" customHeight="true" outlineLevel="0" collapsed="false">
      <c r="B38" s="34" t="n">
        <f aca="false">B37*(1+B$5)</f>
        <v>429100</v>
      </c>
      <c r="C38" s="34" t="n">
        <f aca="false">C37*(1+C$5)</f>
        <v>566965.95389604</v>
      </c>
      <c r="D38" s="34" t="n">
        <f aca="false">D37*(1+D$5)</f>
        <v>747073.486869233</v>
      </c>
      <c r="E38" s="34" t="n">
        <f aca="false">E37*(1+E$5)</f>
        <v>981749.765658859</v>
      </c>
      <c r="F38" s="34" t="n">
        <f aca="false">F37*(1+F$5)</f>
        <v>1286743.59426111</v>
      </c>
      <c r="G38" s="34" t="n">
        <f aca="false">G37*(1+G$5)</f>
        <v>1682127.41331261</v>
      </c>
      <c r="H38" s="34" t="n">
        <f aca="false">H37*(1+H$5)</f>
        <v>2193424.76174535</v>
      </c>
    </row>
    <row r="39" customFormat="false" ht="15" hidden="true" customHeight="true" outlineLevel="0" collapsed="false">
      <c r="B39" s="34" t="n">
        <f aca="false">B38*(1+B$5)</f>
        <v>429100</v>
      </c>
      <c r="C39" s="34" t="n">
        <f aca="false">C38*(1+C$5)</f>
        <v>572635.613435</v>
      </c>
      <c r="D39" s="34" t="n">
        <f aca="false">D38*(1+D$5)</f>
        <v>762014.956606617</v>
      </c>
      <c r="E39" s="34" t="n">
        <f aca="false">E38*(1+E$5)</f>
        <v>1011202.25862862</v>
      </c>
      <c r="F39" s="34" t="n">
        <f aca="false">F38*(1+F$5)</f>
        <v>1338213.33803156</v>
      </c>
      <c r="G39" s="34" t="n">
        <f aca="false">G38*(1+G$5)</f>
        <v>1766233.78397824</v>
      </c>
      <c r="H39" s="34" t="n">
        <f aca="false">H38*(1+H$5)</f>
        <v>2325030.24745008</v>
      </c>
    </row>
    <row r="40" customFormat="false" ht="15" hidden="true" customHeight="true" outlineLevel="0" collapsed="false">
      <c r="B40" s="34" t="n">
        <f aca="false">B39*(1+B$5)</f>
        <v>429100</v>
      </c>
      <c r="C40" s="34" t="n">
        <f aca="false">C39*(1+C$5)</f>
        <v>578361.96956935</v>
      </c>
      <c r="D40" s="34" t="n">
        <f aca="false">D39*(1+D$5)</f>
        <v>777255.25573875</v>
      </c>
      <c r="E40" s="34" t="n">
        <f aca="false">E39*(1+E$5)</f>
        <v>1041538.32638748</v>
      </c>
      <c r="F40" s="34" t="n">
        <f aca="false">F39*(1+F$5)</f>
        <v>1391741.87155282</v>
      </c>
      <c r="G40" s="34" t="n">
        <f aca="false">G39*(1+G$5)</f>
        <v>1854545.47317715</v>
      </c>
      <c r="H40" s="34" t="n">
        <f aca="false">H39*(1+H$5)</f>
        <v>2464532.06229708</v>
      </c>
    </row>
    <row r="41" customFormat="false" ht="15" hidden="true" customHeight="true" outlineLevel="0" collapsed="false"/>
    <row r="42" customFormat="false" ht="15" hidden="true" customHeight="true" outlineLevel="0" collapsed="false">
      <c r="A42" s="33" t="s">
        <v>92</v>
      </c>
      <c r="B42" s="34" t="n">
        <f aca="false">(Inputs!$B$4*(1-Inputs!$B$5))</f>
        <v>343280</v>
      </c>
      <c r="C42" s="34" t="n">
        <f aca="false">(Inputs!$B$4*(1-Inputs!$B$5))</f>
        <v>343280</v>
      </c>
      <c r="D42" s="34" t="n">
        <f aca="false">(Inputs!$B$4*(1-Inputs!$B$5))</f>
        <v>343280</v>
      </c>
      <c r="E42" s="34" t="n">
        <f aca="false">(Inputs!$B$4*(1-Inputs!$B$5))</f>
        <v>343280</v>
      </c>
      <c r="F42" s="34" t="n">
        <f aca="false">(Inputs!$B$4*(1-Inputs!$B$5))</f>
        <v>343280</v>
      </c>
      <c r="G42" s="34" t="n">
        <f aca="false">(Inputs!$B$4*(1-Inputs!$B$5))</f>
        <v>343280</v>
      </c>
      <c r="H42" s="34" t="n">
        <f aca="false">(Inputs!$B$4*(1-Inputs!$B$5))</f>
        <v>343280</v>
      </c>
    </row>
    <row r="43" customFormat="false" ht="15" hidden="true" customHeight="true" outlineLevel="0" collapsed="false">
      <c r="B43" s="34" t="n">
        <f aca="false">IF(1&gt;=Inputs!$B$7,0,ROUND(-FV(Inputs!$B$6/12,1*12,-(-PMT(Inputs!$B$6/12,Inputs!$B$7*12,(Inputs!$B$4*(1-Inputs!$B$5)))*12)/12,(Inputs!$B$4*(1-Inputs!$B$5))),2))</f>
        <v>339976.85</v>
      </c>
      <c r="C43" s="34" t="n">
        <f aca="false">IF(1&gt;=Inputs!$B$7,0,ROUND(-FV(Inputs!$B$6/12,1*12,-(-PMT(Inputs!$B$6/12,Inputs!$B$7*12,(Inputs!$B$4*(1-Inputs!$B$5)))*12)/12,(Inputs!$B$4*(1-Inputs!$B$5))),2))</f>
        <v>339976.85</v>
      </c>
      <c r="D43" s="34" t="n">
        <f aca="false">IF(1&gt;=Inputs!$B$7,0,ROUND(-FV(Inputs!$B$6/12,1*12,-(-PMT(Inputs!$B$6/12,Inputs!$B$7*12,(Inputs!$B$4*(1-Inputs!$B$5)))*12)/12,(Inputs!$B$4*(1-Inputs!$B$5))),2))</f>
        <v>339976.85</v>
      </c>
      <c r="E43" s="34" t="n">
        <f aca="false">IF(1&gt;=Inputs!$B$7,0,ROUND(-FV(Inputs!$B$6/12,1*12,-(-PMT(Inputs!$B$6/12,Inputs!$B$7*12,(Inputs!$B$4*(1-Inputs!$B$5)))*12)/12,(Inputs!$B$4*(1-Inputs!$B$5))),2))</f>
        <v>339976.85</v>
      </c>
      <c r="F43" s="34" t="n">
        <f aca="false">IF(1&gt;=Inputs!$B$7,0,ROUND(-FV(Inputs!$B$6/12,1*12,-(-PMT(Inputs!$B$6/12,Inputs!$B$7*12,(Inputs!$B$4*(1-Inputs!$B$5)))*12)/12,(Inputs!$B$4*(1-Inputs!$B$5))),2))</f>
        <v>339976.85</v>
      </c>
      <c r="G43" s="34" t="n">
        <f aca="false">IF(1&gt;=Inputs!$B$7,0,ROUND(-FV(Inputs!$B$6/12,1*12,-(-PMT(Inputs!$B$6/12,Inputs!$B$7*12,(Inputs!$B$4*(1-Inputs!$B$5)))*12)/12,(Inputs!$B$4*(1-Inputs!$B$5))),2))</f>
        <v>339976.85</v>
      </c>
      <c r="H43" s="34" t="n">
        <f aca="false">IF(1&gt;=Inputs!$B$7,0,ROUND(-FV(Inputs!$B$6/12,1*12,-(-PMT(Inputs!$B$6/12,Inputs!$B$7*12,(Inputs!$B$4*(1-Inputs!$B$5)))*12)/12,(Inputs!$B$4*(1-Inputs!$B$5))),2))</f>
        <v>339976.85</v>
      </c>
    </row>
    <row r="44" customFormat="false" ht="15" hidden="true" customHeight="true" outlineLevel="0" collapsed="false">
      <c r="B44" s="34" t="n">
        <f aca="false">IF(2&gt;=Inputs!$B$7,0,ROUND(-FV(Inputs!$B$6/12,2*12,-(-PMT(Inputs!$B$6/12,Inputs!$B$7*12,(Inputs!$B$4*(1-Inputs!$B$5)))*12)/12,(Inputs!$B$4*(1-Inputs!$B$5))),2))</f>
        <v>336425.03</v>
      </c>
      <c r="C44" s="34" t="n">
        <f aca="false">IF(2&gt;=Inputs!$B$7,0,ROUND(-FV(Inputs!$B$6/12,2*12,-(-PMT(Inputs!$B$6/12,Inputs!$B$7*12,(Inputs!$B$4*(1-Inputs!$B$5)))*12)/12,(Inputs!$B$4*(1-Inputs!$B$5))),2))</f>
        <v>336425.03</v>
      </c>
      <c r="D44" s="34" t="n">
        <f aca="false">IF(2&gt;=Inputs!$B$7,0,ROUND(-FV(Inputs!$B$6/12,2*12,-(-PMT(Inputs!$B$6/12,Inputs!$B$7*12,(Inputs!$B$4*(1-Inputs!$B$5)))*12)/12,(Inputs!$B$4*(1-Inputs!$B$5))),2))</f>
        <v>336425.03</v>
      </c>
      <c r="E44" s="34" t="n">
        <f aca="false">IF(2&gt;=Inputs!$B$7,0,ROUND(-FV(Inputs!$B$6/12,2*12,-(-PMT(Inputs!$B$6/12,Inputs!$B$7*12,(Inputs!$B$4*(1-Inputs!$B$5)))*12)/12,(Inputs!$B$4*(1-Inputs!$B$5))),2))</f>
        <v>336425.03</v>
      </c>
      <c r="F44" s="34" t="n">
        <f aca="false">IF(2&gt;=Inputs!$B$7,0,ROUND(-FV(Inputs!$B$6/12,2*12,-(-PMT(Inputs!$B$6/12,Inputs!$B$7*12,(Inputs!$B$4*(1-Inputs!$B$5)))*12)/12,(Inputs!$B$4*(1-Inputs!$B$5))),2))</f>
        <v>336425.03</v>
      </c>
      <c r="G44" s="34" t="n">
        <f aca="false">IF(2&gt;=Inputs!$B$7,0,ROUND(-FV(Inputs!$B$6/12,2*12,-(-PMT(Inputs!$B$6/12,Inputs!$B$7*12,(Inputs!$B$4*(1-Inputs!$B$5)))*12)/12,(Inputs!$B$4*(1-Inputs!$B$5))),2))</f>
        <v>336425.03</v>
      </c>
      <c r="H44" s="34" t="n">
        <f aca="false">IF(2&gt;=Inputs!$B$7,0,ROUND(-FV(Inputs!$B$6/12,2*12,-(-PMT(Inputs!$B$6/12,Inputs!$B$7*12,(Inputs!$B$4*(1-Inputs!$B$5)))*12)/12,(Inputs!$B$4*(1-Inputs!$B$5))),2))</f>
        <v>336425.03</v>
      </c>
    </row>
    <row r="45" customFormat="false" ht="15" hidden="true" customHeight="true" outlineLevel="0" collapsed="false">
      <c r="B45" s="34" t="n">
        <f aca="false">IF(3&gt;=Inputs!$B$7,0,ROUND(-FV(Inputs!$B$6/12,3*12,-(-PMT(Inputs!$B$6/12,Inputs!$B$7*12,(Inputs!$B$4*(1-Inputs!$B$5)))*12)/12,(Inputs!$B$4*(1-Inputs!$B$5))),2))</f>
        <v>332605.85</v>
      </c>
      <c r="C45" s="34" t="n">
        <f aca="false">IF(3&gt;=Inputs!$B$7,0,ROUND(-FV(Inputs!$B$6/12,3*12,-(-PMT(Inputs!$B$6/12,Inputs!$B$7*12,(Inputs!$B$4*(1-Inputs!$B$5)))*12)/12,(Inputs!$B$4*(1-Inputs!$B$5))),2))</f>
        <v>332605.85</v>
      </c>
      <c r="D45" s="34" t="n">
        <f aca="false">IF(3&gt;=Inputs!$B$7,0,ROUND(-FV(Inputs!$B$6/12,3*12,-(-PMT(Inputs!$B$6/12,Inputs!$B$7*12,(Inputs!$B$4*(1-Inputs!$B$5)))*12)/12,(Inputs!$B$4*(1-Inputs!$B$5))),2))</f>
        <v>332605.85</v>
      </c>
      <c r="E45" s="34" t="n">
        <f aca="false">IF(3&gt;=Inputs!$B$7,0,ROUND(-FV(Inputs!$B$6/12,3*12,-(-PMT(Inputs!$B$6/12,Inputs!$B$7*12,(Inputs!$B$4*(1-Inputs!$B$5)))*12)/12,(Inputs!$B$4*(1-Inputs!$B$5))),2))</f>
        <v>332605.85</v>
      </c>
      <c r="F45" s="34" t="n">
        <f aca="false">IF(3&gt;=Inputs!$B$7,0,ROUND(-FV(Inputs!$B$6/12,3*12,-(-PMT(Inputs!$B$6/12,Inputs!$B$7*12,(Inputs!$B$4*(1-Inputs!$B$5)))*12)/12,(Inputs!$B$4*(1-Inputs!$B$5))),2))</f>
        <v>332605.85</v>
      </c>
      <c r="G45" s="34" t="n">
        <f aca="false">IF(3&gt;=Inputs!$B$7,0,ROUND(-FV(Inputs!$B$6/12,3*12,-(-PMT(Inputs!$B$6/12,Inputs!$B$7*12,(Inputs!$B$4*(1-Inputs!$B$5)))*12)/12,(Inputs!$B$4*(1-Inputs!$B$5))),2))</f>
        <v>332605.85</v>
      </c>
      <c r="H45" s="34" t="n">
        <f aca="false">IF(3&gt;=Inputs!$B$7,0,ROUND(-FV(Inputs!$B$6/12,3*12,-(-PMT(Inputs!$B$6/12,Inputs!$B$7*12,(Inputs!$B$4*(1-Inputs!$B$5)))*12)/12,(Inputs!$B$4*(1-Inputs!$B$5))),2))</f>
        <v>332605.85</v>
      </c>
    </row>
    <row r="46" customFormat="false" ht="15" hidden="true" customHeight="true" outlineLevel="0" collapsed="false">
      <c r="B46" s="34" t="n">
        <f aca="false">IF(4&gt;=Inputs!$B$7,0,ROUND(-FV(Inputs!$B$6/12,4*12,-(-PMT(Inputs!$B$6/12,Inputs!$B$7*12,(Inputs!$B$4*(1-Inputs!$B$5)))*12)/12,(Inputs!$B$4*(1-Inputs!$B$5))),2))</f>
        <v>328499.15</v>
      </c>
      <c r="C46" s="34" t="n">
        <f aca="false">IF(4&gt;=Inputs!$B$7,0,ROUND(-FV(Inputs!$B$6/12,4*12,-(-PMT(Inputs!$B$6/12,Inputs!$B$7*12,(Inputs!$B$4*(1-Inputs!$B$5)))*12)/12,(Inputs!$B$4*(1-Inputs!$B$5))),2))</f>
        <v>328499.15</v>
      </c>
      <c r="D46" s="34" t="n">
        <f aca="false">IF(4&gt;=Inputs!$B$7,0,ROUND(-FV(Inputs!$B$6/12,4*12,-(-PMT(Inputs!$B$6/12,Inputs!$B$7*12,(Inputs!$B$4*(1-Inputs!$B$5)))*12)/12,(Inputs!$B$4*(1-Inputs!$B$5))),2))</f>
        <v>328499.15</v>
      </c>
      <c r="E46" s="34" t="n">
        <f aca="false">IF(4&gt;=Inputs!$B$7,0,ROUND(-FV(Inputs!$B$6/12,4*12,-(-PMT(Inputs!$B$6/12,Inputs!$B$7*12,(Inputs!$B$4*(1-Inputs!$B$5)))*12)/12,(Inputs!$B$4*(1-Inputs!$B$5))),2))</f>
        <v>328499.15</v>
      </c>
      <c r="F46" s="34" t="n">
        <f aca="false">IF(4&gt;=Inputs!$B$7,0,ROUND(-FV(Inputs!$B$6/12,4*12,-(-PMT(Inputs!$B$6/12,Inputs!$B$7*12,(Inputs!$B$4*(1-Inputs!$B$5)))*12)/12,(Inputs!$B$4*(1-Inputs!$B$5))),2))</f>
        <v>328499.15</v>
      </c>
      <c r="G46" s="34" t="n">
        <f aca="false">IF(4&gt;=Inputs!$B$7,0,ROUND(-FV(Inputs!$B$6/12,4*12,-(-PMT(Inputs!$B$6/12,Inputs!$B$7*12,(Inputs!$B$4*(1-Inputs!$B$5)))*12)/12,(Inputs!$B$4*(1-Inputs!$B$5))),2))</f>
        <v>328499.15</v>
      </c>
      <c r="H46" s="34" t="n">
        <f aca="false">IF(4&gt;=Inputs!$B$7,0,ROUND(-FV(Inputs!$B$6/12,4*12,-(-PMT(Inputs!$B$6/12,Inputs!$B$7*12,(Inputs!$B$4*(1-Inputs!$B$5)))*12)/12,(Inputs!$B$4*(1-Inputs!$B$5))),2))</f>
        <v>328499.15</v>
      </c>
    </row>
    <row r="47" customFormat="false" ht="15" hidden="true" customHeight="true" outlineLevel="0" collapsed="false">
      <c r="B47" s="34" t="n">
        <f aca="false">IF(5&gt;=Inputs!$B$7,0,ROUND(-FV(Inputs!$B$6/12,5*12,-(-PMT(Inputs!$B$6/12,Inputs!$B$7*12,(Inputs!$B$4*(1-Inputs!$B$5)))*12)/12,(Inputs!$B$4*(1-Inputs!$B$5))),2))</f>
        <v>324083.31</v>
      </c>
      <c r="C47" s="34" t="n">
        <f aca="false">IF(5&gt;=Inputs!$B$7,0,ROUND(-FV(Inputs!$B$6/12,5*12,-(-PMT(Inputs!$B$6/12,Inputs!$B$7*12,(Inputs!$B$4*(1-Inputs!$B$5)))*12)/12,(Inputs!$B$4*(1-Inputs!$B$5))),2))</f>
        <v>324083.31</v>
      </c>
      <c r="D47" s="34" t="n">
        <f aca="false">IF(5&gt;=Inputs!$B$7,0,ROUND(-FV(Inputs!$B$6/12,5*12,-(-PMT(Inputs!$B$6/12,Inputs!$B$7*12,(Inputs!$B$4*(1-Inputs!$B$5)))*12)/12,(Inputs!$B$4*(1-Inputs!$B$5))),2))</f>
        <v>324083.31</v>
      </c>
      <c r="E47" s="34" t="n">
        <f aca="false">IF(5&gt;=Inputs!$B$7,0,ROUND(-FV(Inputs!$B$6/12,5*12,-(-PMT(Inputs!$B$6/12,Inputs!$B$7*12,(Inputs!$B$4*(1-Inputs!$B$5)))*12)/12,(Inputs!$B$4*(1-Inputs!$B$5))),2))</f>
        <v>324083.31</v>
      </c>
      <c r="F47" s="34" t="n">
        <f aca="false">IF(5&gt;=Inputs!$B$7,0,ROUND(-FV(Inputs!$B$6/12,5*12,-(-PMT(Inputs!$B$6/12,Inputs!$B$7*12,(Inputs!$B$4*(1-Inputs!$B$5)))*12)/12,(Inputs!$B$4*(1-Inputs!$B$5))),2))</f>
        <v>324083.31</v>
      </c>
      <c r="G47" s="34" t="n">
        <f aca="false">IF(5&gt;=Inputs!$B$7,0,ROUND(-FV(Inputs!$B$6/12,5*12,-(-PMT(Inputs!$B$6/12,Inputs!$B$7*12,(Inputs!$B$4*(1-Inputs!$B$5)))*12)/12,(Inputs!$B$4*(1-Inputs!$B$5))),2))</f>
        <v>324083.31</v>
      </c>
      <c r="H47" s="34" t="n">
        <f aca="false">IF(5&gt;=Inputs!$B$7,0,ROUND(-FV(Inputs!$B$6/12,5*12,-(-PMT(Inputs!$B$6/12,Inputs!$B$7*12,(Inputs!$B$4*(1-Inputs!$B$5)))*12)/12,(Inputs!$B$4*(1-Inputs!$B$5))),2))</f>
        <v>324083.31</v>
      </c>
    </row>
    <row r="48" customFormat="false" ht="15" hidden="true" customHeight="true" outlineLevel="0" collapsed="false">
      <c r="B48" s="34" t="n">
        <f aca="false">IF(6&gt;=Inputs!$B$7,0,ROUND(-FV(Inputs!$B$6/12,6*12,-(-PMT(Inputs!$B$6/12,Inputs!$B$7*12,(Inputs!$B$4*(1-Inputs!$B$5)))*12)/12,(Inputs!$B$4*(1-Inputs!$B$5))),2))</f>
        <v>319335.05</v>
      </c>
      <c r="C48" s="34" t="n">
        <f aca="false">IF(6&gt;=Inputs!$B$7,0,ROUND(-FV(Inputs!$B$6/12,6*12,-(-PMT(Inputs!$B$6/12,Inputs!$B$7*12,(Inputs!$B$4*(1-Inputs!$B$5)))*12)/12,(Inputs!$B$4*(1-Inputs!$B$5))),2))</f>
        <v>319335.05</v>
      </c>
      <c r="D48" s="34" t="n">
        <f aca="false">IF(6&gt;=Inputs!$B$7,0,ROUND(-FV(Inputs!$B$6/12,6*12,-(-PMT(Inputs!$B$6/12,Inputs!$B$7*12,(Inputs!$B$4*(1-Inputs!$B$5)))*12)/12,(Inputs!$B$4*(1-Inputs!$B$5))),2))</f>
        <v>319335.05</v>
      </c>
      <c r="E48" s="34" t="n">
        <f aca="false">IF(6&gt;=Inputs!$B$7,0,ROUND(-FV(Inputs!$B$6/12,6*12,-(-PMT(Inputs!$B$6/12,Inputs!$B$7*12,(Inputs!$B$4*(1-Inputs!$B$5)))*12)/12,(Inputs!$B$4*(1-Inputs!$B$5))),2))</f>
        <v>319335.05</v>
      </c>
      <c r="F48" s="34" t="n">
        <f aca="false">IF(6&gt;=Inputs!$B$7,0,ROUND(-FV(Inputs!$B$6/12,6*12,-(-PMT(Inputs!$B$6/12,Inputs!$B$7*12,(Inputs!$B$4*(1-Inputs!$B$5)))*12)/12,(Inputs!$B$4*(1-Inputs!$B$5))),2))</f>
        <v>319335.05</v>
      </c>
      <c r="G48" s="34" t="n">
        <f aca="false">IF(6&gt;=Inputs!$B$7,0,ROUND(-FV(Inputs!$B$6/12,6*12,-(-PMT(Inputs!$B$6/12,Inputs!$B$7*12,(Inputs!$B$4*(1-Inputs!$B$5)))*12)/12,(Inputs!$B$4*(1-Inputs!$B$5))),2))</f>
        <v>319335.05</v>
      </c>
      <c r="H48" s="34" t="n">
        <f aca="false">IF(6&gt;=Inputs!$B$7,0,ROUND(-FV(Inputs!$B$6/12,6*12,-(-PMT(Inputs!$B$6/12,Inputs!$B$7*12,(Inputs!$B$4*(1-Inputs!$B$5)))*12)/12,(Inputs!$B$4*(1-Inputs!$B$5))),2))</f>
        <v>319335.05</v>
      </c>
    </row>
    <row r="49" customFormat="false" ht="15" hidden="true" customHeight="true" outlineLevel="0" collapsed="false">
      <c r="B49" s="34" t="n">
        <f aca="false">IF(7&gt;=Inputs!$B$7,0,ROUND(-FV(Inputs!$B$6/12,7*12,-(-PMT(Inputs!$B$6/12,Inputs!$B$7*12,(Inputs!$B$4*(1-Inputs!$B$5)))*12)/12,(Inputs!$B$4*(1-Inputs!$B$5))),2))</f>
        <v>314229.35</v>
      </c>
      <c r="C49" s="34" t="n">
        <f aca="false">IF(7&gt;=Inputs!$B$7,0,ROUND(-FV(Inputs!$B$6/12,7*12,-(-PMT(Inputs!$B$6/12,Inputs!$B$7*12,(Inputs!$B$4*(1-Inputs!$B$5)))*12)/12,(Inputs!$B$4*(1-Inputs!$B$5))),2))</f>
        <v>314229.35</v>
      </c>
      <c r="D49" s="34" t="n">
        <f aca="false">IF(7&gt;=Inputs!$B$7,0,ROUND(-FV(Inputs!$B$6/12,7*12,-(-PMT(Inputs!$B$6/12,Inputs!$B$7*12,(Inputs!$B$4*(1-Inputs!$B$5)))*12)/12,(Inputs!$B$4*(1-Inputs!$B$5))),2))</f>
        <v>314229.35</v>
      </c>
      <c r="E49" s="34" t="n">
        <f aca="false">IF(7&gt;=Inputs!$B$7,0,ROUND(-FV(Inputs!$B$6/12,7*12,-(-PMT(Inputs!$B$6/12,Inputs!$B$7*12,(Inputs!$B$4*(1-Inputs!$B$5)))*12)/12,(Inputs!$B$4*(1-Inputs!$B$5))),2))</f>
        <v>314229.35</v>
      </c>
      <c r="F49" s="34" t="n">
        <f aca="false">IF(7&gt;=Inputs!$B$7,0,ROUND(-FV(Inputs!$B$6/12,7*12,-(-PMT(Inputs!$B$6/12,Inputs!$B$7*12,(Inputs!$B$4*(1-Inputs!$B$5)))*12)/12,(Inputs!$B$4*(1-Inputs!$B$5))),2))</f>
        <v>314229.35</v>
      </c>
      <c r="G49" s="34" t="n">
        <f aca="false">IF(7&gt;=Inputs!$B$7,0,ROUND(-FV(Inputs!$B$6/12,7*12,-(-PMT(Inputs!$B$6/12,Inputs!$B$7*12,(Inputs!$B$4*(1-Inputs!$B$5)))*12)/12,(Inputs!$B$4*(1-Inputs!$B$5))),2))</f>
        <v>314229.35</v>
      </c>
      <c r="H49" s="34" t="n">
        <f aca="false">IF(7&gt;=Inputs!$B$7,0,ROUND(-FV(Inputs!$B$6/12,7*12,-(-PMT(Inputs!$B$6/12,Inputs!$B$7*12,(Inputs!$B$4*(1-Inputs!$B$5)))*12)/12,(Inputs!$B$4*(1-Inputs!$B$5))),2))</f>
        <v>314229.35</v>
      </c>
    </row>
    <row r="50" customFormat="false" ht="15" hidden="true" customHeight="true" outlineLevel="0" collapsed="false">
      <c r="B50" s="34" t="n">
        <f aca="false">IF(8&gt;=Inputs!$B$7,0,ROUND(-FV(Inputs!$B$6/12,8*12,-(-PMT(Inputs!$B$6/12,Inputs!$B$7*12,(Inputs!$B$4*(1-Inputs!$B$5)))*12)/12,(Inputs!$B$4*(1-Inputs!$B$5))),2))</f>
        <v>308739.3</v>
      </c>
      <c r="C50" s="34" t="n">
        <f aca="false">IF(8&gt;=Inputs!$B$7,0,ROUND(-FV(Inputs!$B$6/12,8*12,-(-PMT(Inputs!$B$6/12,Inputs!$B$7*12,(Inputs!$B$4*(1-Inputs!$B$5)))*12)/12,(Inputs!$B$4*(1-Inputs!$B$5))),2))</f>
        <v>308739.3</v>
      </c>
      <c r="D50" s="34" t="n">
        <f aca="false">IF(8&gt;=Inputs!$B$7,0,ROUND(-FV(Inputs!$B$6/12,8*12,-(-PMT(Inputs!$B$6/12,Inputs!$B$7*12,(Inputs!$B$4*(1-Inputs!$B$5)))*12)/12,(Inputs!$B$4*(1-Inputs!$B$5))),2))</f>
        <v>308739.3</v>
      </c>
      <c r="E50" s="34" t="n">
        <f aca="false">IF(8&gt;=Inputs!$B$7,0,ROUND(-FV(Inputs!$B$6/12,8*12,-(-PMT(Inputs!$B$6/12,Inputs!$B$7*12,(Inputs!$B$4*(1-Inputs!$B$5)))*12)/12,(Inputs!$B$4*(1-Inputs!$B$5))),2))</f>
        <v>308739.3</v>
      </c>
      <c r="F50" s="34" t="n">
        <f aca="false">IF(8&gt;=Inputs!$B$7,0,ROUND(-FV(Inputs!$B$6/12,8*12,-(-PMT(Inputs!$B$6/12,Inputs!$B$7*12,(Inputs!$B$4*(1-Inputs!$B$5)))*12)/12,(Inputs!$B$4*(1-Inputs!$B$5))),2))</f>
        <v>308739.3</v>
      </c>
      <c r="G50" s="34" t="n">
        <f aca="false">IF(8&gt;=Inputs!$B$7,0,ROUND(-FV(Inputs!$B$6/12,8*12,-(-PMT(Inputs!$B$6/12,Inputs!$B$7*12,(Inputs!$B$4*(1-Inputs!$B$5)))*12)/12,(Inputs!$B$4*(1-Inputs!$B$5))),2))</f>
        <v>308739.3</v>
      </c>
      <c r="H50" s="34" t="n">
        <f aca="false">IF(8&gt;=Inputs!$B$7,0,ROUND(-FV(Inputs!$B$6/12,8*12,-(-PMT(Inputs!$B$6/12,Inputs!$B$7*12,(Inputs!$B$4*(1-Inputs!$B$5)))*12)/12,(Inputs!$B$4*(1-Inputs!$B$5))),2))</f>
        <v>308739.3</v>
      </c>
    </row>
    <row r="51" customFormat="false" ht="15" hidden="true" customHeight="true" outlineLevel="0" collapsed="false">
      <c r="B51" s="34" t="n">
        <f aca="false">IF(9&gt;=Inputs!$B$7,0,ROUND(-FV(Inputs!$B$6/12,9*12,-(-PMT(Inputs!$B$6/12,Inputs!$B$7*12,(Inputs!$B$4*(1-Inputs!$B$5)))*12)/12,(Inputs!$B$4*(1-Inputs!$B$5))),2))</f>
        <v>302835.96</v>
      </c>
      <c r="C51" s="34" t="n">
        <f aca="false">IF(9&gt;=Inputs!$B$7,0,ROUND(-FV(Inputs!$B$6/12,9*12,-(-PMT(Inputs!$B$6/12,Inputs!$B$7*12,(Inputs!$B$4*(1-Inputs!$B$5)))*12)/12,(Inputs!$B$4*(1-Inputs!$B$5))),2))</f>
        <v>302835.96</v>
      </c>
      <c r="D51" s="34" t="n">
        <f aca="false">IF(9&gt;=Inputs!$B$7,0,ROUND(-FV(Inputs!$B$6/12,9*12,-(-PMT(Inputs!$B$6/12,Inputs!$B$7*12,(Inputs!$B$4*(1-Inputs!$B$5)))*12)/12,(Inputs!$B$4*(1-Inputs!$B$5))),2))</f>
        <v>302835.96</v>
      </c>
      <c r="E51" s="34" t="n">
        <f aca="false">IF(9&gt;=Inputs!$B$7,0,ROUND(-FV(Inputs!$B$6/12,9*12,-(-PMT(Inputs!$B$6/12,Inputs!$B$7*12,(Inputs!$B$4*(1-Inputs!$B$5)))*12)/12,(Inputs!$B$4*(1-Inputs!$B$5))),2))</f>
        <v>302835.96</v>
      </c>
      <c r="F51" s="34" t="n">
        <f aca="false">IF(9&gt;=Inputs!$B$7,0,ROUND(-FV(Inputs!$B$6/12,9*12,-(-PMT(Inputs!$B$6/12,Inputs!$B$7*12,(Inputs!$B$4*(1-Inputs!$B$5)))*12)/12,(Inputs!$B$4*(1-Inputs!$B$5))),2))</f>
        <v>302835.96</v>
      </c>
      <c r="G51" s="34" t="n">
        <f aca="false">IF(9&gt;=Inputs!$B$7,0,ROUND(-FV(Inputs!$B$6/12,9*12,-(-PMT(Inputs!$B$6/12,Inputs!$B$7*12,(Inputs!$B$4*(1-Inputs!$B$5)))*12)/12,(Inputs!$B$4*(1-Inputs!$B$5))),2))</f>
        <v>302835.96</v>
      </c>
      <c r="H51" s="34" t="n">
        <f aca="false">IF(9&gt;=Inputs!$B$7,0,ROUND(-FV(Inputs!$B$6/12,9*12,-(-PMT(Inputs!$B$6/12,Inputs!$B$7*12,(Inputs!$B$4*(1-Inputs!$B$5)))*12)/12,(Inputs!$B$4*(1-Inputs!$B$5))),2))</f>
        <v>302835.96</v>
      </c>
    </row>
    <row r="52" customFormat="false" ht="15" hidden="true" customHeight="true" outlineLevel="0" collapsed="false">
      <c r="B52" s="34" t="n">
        <f aca="false">IF(10&gt;=Inputs!$B$7,0,ROUND(-FV(Inputs!$B$6/12,10*12,-(-PMT(Inputs!$B$6/12,Inputs!$B$7*12,(Inputs!$B$4*(1-Inputs!$B$5)))*12)/12,(Inputs!$B$4*(1-Inputs!$B$5))),2))</f>
        <v>296488.22</v>
      </c>
      <c r="C52" s="34" t="n">
        <f aca="false">IF(10&gt;=Inputs!$B$7,0,ROUND(-FV(Inputs!$B$6/12,10*12,-(-PMT(Inputs!$B$6/12,Inputs!$B$7*12,(Inputs!$B$4*(1-Inputs!$B$5)))*12)/12,(Inputs!$B$4*(1-Inputs!$B$5))),2))</f>
        <v>296488.22</v>
      </c>
      <c r="D52" s="34" t="n">
        <f aca="false">IF(10&gt;=Inputs!$B$7,0,ROUND(-FV(Inputs!$B$6/12,10*12,-(-PMT(Inputs!$B$6/12,Inputs!$B$7*12,(Inputs!$B$4*(1-Inputs!$B$5)))*12)/12,(Inputs!$B$4*(1-Inputs!$B$5))),2))</f>
        <v>296488.22</v>
      </c>
      <c r="E52" s="34" t="n">
        <f aca="false">IF(10&gt;=Inputs!$B$7,0,ROUND(-FV(Inputs!$B$6/12,10*12,-(-PMT(Inputs!$B$6/12,Inputs!$B$7*12,(Inputs!$B$4*(1-Inputs!$B$5)))*12)/12,(Inputs!$B$4*(1-Inputs!$B$5))),2))</f>
        <v>296488.22</v>
      </c>
      <c r="F52" s="34" t="n">
        <f aca="false">IF(10&gt;=Inputs!$B$7,0,ROUND(-FV(Inputs!$B$6/12,10*12,-(-PMT(Inputs!$B$6/12,Inputs!$B$7*12,(Inputs!$B$4*(1-Inputs!$B$5)))*12)/12,(Inputs!$B$4*(1-Inputs!$B$5))),2))</f>
        <v>296488.22</v>
      </c>
      <c r="G52" s="34" t="n">
        <f aca="false">IF(10&gt;=Inputs!$B$7,0,ROUND(-FV(Inputs!$B$6/12,10*12,-(-PMT(Inputs!$B$6/12,Inputs!$B$7*12,(Inputs!$B$4*(1-Inputs!$B$5)))*12)/12,(Inputs!$B$4*(1-Inputs!$B$5))),2))</f>
        <v>296488.22</v>
      </c>
      <c r="H52" s="34" t="n">
        <f aca="false">IF(10&gt;=Inputs!$B$7,0,ROUND(-FV(Inputs!$B$6/12,10*12,-(-PMT(Inputs!$B$6/12,Inputs!$B$7*12,(Inputs!$B$4*(1-Inputs!$B$5)))*12)/12,(Inputs!$B$4*(1-Inputs!$B$5))),2))</f>
        <v>296488.22</v>
      </c>
    </row>
    <row r="53" customFormat="false" ht="15" hidden="true" customHeight="true" outlineLevel="0" collapsed="false">
      <c r="B53" s="34" t="n">
        <f aca="false">IF(11&gt;=Inputs!$B$7,0,ROUND(-FV(Inputs!$B$6/12,11*12,-(-PMT(Inputs!$B$6/12,Inputs!$B$7*12,(Inputs!$B$4*(1-Inputs!$B$5)))*12)/12,(Inputs!$B$4*(1-Inputs!$B$5))),2))</f>
        <v>289662.63</v>
      </c>
      <c r="C53" s="34" t="n">
        <f aca="false">IF(11&gt;=Inputs!$B$7,0,ROUND(-FV(Inputs!$B$6/12,11*12,-(-PMT(Inputs!$B$6/12,Inputs!$B$7*12,(Inputs!$B$4*(1-Inputs!$B$5)))*12)/12,(Inputs!$B$4*(1-Inputs!$B$5))),2))</f>
        <v>289662.63</v>
      </c>
      <c r="D53" s="34" t="n">
        <f aca="false">IF(11&gt;=Inputs!$B$7,0,ROUND(-FV(Inputs!$B$6/12,11*12,-(-PMT(Inputs!$B$6/12,Inputs!$B$7*12,(Inputs!$B$4*(1-Inputs!$B$5)))*12)/12,(Inputs!$B$4*(1-Inputs!$B$5))),2))</f>
        <v>289662.63</v>
      </c>
      <c r="E53" s="34" t="n">
        <f aca="false">IF(11&gt;=Inputs!$B$7,0,ROUND(-FV(Inputs!$B$6/12,11*12,-(-PMT(Inputs!$B$6/12,Inputs!$B$7*12,(Inputs!$B$4*(1-Inputs!$B$5)))*12)/12,(Inputs!$B$4*(1-Inputs!$B$5))),2))</f>
        <v>289662.63</v>
      </c>
      <c r="F53" s="34" t="n">
        <f aca="false">IF(11&gt;=Inputs!$B$7,0,ROUND(-FV(Inputs!$B$6/12,11*12,-(-PMT(Inputs!$B$6/12,Inputs!$B$7*12,(Inputs!$B$4*(1-Inputs!$B$5)))*12)/12,(Inputs!$B$4*(1-Inputs!$B$5))),2))</f>
        <v>289662.63</v>
      </c>
      <c r="G53" s="34" t="n">
        <f aca="false">IF(11&gt;=Inputs!$B$7,0,ROUND(-FV(Inputs!$B$6/12,11*12,-(-PMT(Inputs!$B$6/12,Inputs!$B$7*12,(Inputs!$B$4*(1-Inputs!$B$5)))*12)/12,(Inputs!$B$4*(1-Inputs!$B$5))),2))</f>
        <v>289662.63</v>
      </c>
      <c r="H53" s="34" t="n">
        <f aca="false">IF(11&gt;=Inputs!$B$7,0,ROUND(-FV(Inputs!$B$6/12,11*12,-(-PMT(Inputs!$B$6/12,Inputs!$B$7*12,(Inputs!$B$4*(1-Inputs!$B$5)))*12)/12,(Inputs!$B$4*(1-Inputs!$B$5))),2))</f>
        <v>289662.63</v>
      </c>
    </row>
    <row r="54" customFormat="false" ht="15" hidden="true" customHeight="true" outlineLevel="0" collapsed="false">
      <c r="B54" s="34" t="n">
        <f aca="false">IF(12&gt;=Inputs!$B$7,0,ROUND(-FV(Inputs!$B$6/12,12*12,-(-PMT(Inputs!$B$6/12,Inputs!$B$7*12,(Inputs!$B$4*(1-Inputs!$B$5)))*12)/12,(Inputs!$B$4*(1-Inputs!$B$5))),2))</f>
        <v>282323.22</v>
      </c>
      <c r="C54" s="34" t="n">
        <f aca="false">IF(12&gt;=Inputs!$B$7,0,ROUND(-FV(Inputs!$B$6/12,12*12,-(-PMT(Inputs!$B$6/12,Inputs!$B$7*12,(Inputs!$B$4*(1-Inputs!$B$5)))*12)/12,(Inputs!$B$4*(1-Inputs!$B$5))),2))</f>
        <v>282323.22</v>
      </c>
      <c r="D54" s="34" t="n">
        <f aca="false">IF(12&gt;=Inputs!$B$7,0,ROUND(-FV(Inputs!$B$6/12,12*12,-(-PMT(Inputs!$B$6/12,Inputs!$B$7*12,(Inputs!$B$4*(1-Inputs!$B$5)))*12)/12,(Inputs!$B$4*(1-Inputs!$B$5))),2))</f>
        <v>282323.22</v>
      </c>
      <c r="E54" s="34" t="n">
        <f aca="false">IF(12&gt;=Inputs!$B$7,0,ROUND(-FV(Inputs!$B$6/12,12*12,-(-PMT(Inputs!$B$6/12,Inputs!$B$7*12,(Inputs!$B$4*(1-Inputs!$B$5)))*12)/12,(Inputs!$B$4*(1-Inputs!$B$5))),2))</f>
        <v>282323.22</v>
      </c>
      <c r="F54" s="34" t="n">
        <f aca="false">IF(12&gt;=Inputs!$B$7,0,ROUND(-FV(Inputs!$B$6/12,12*12,-(-PMT(Inputs!$B$6/12,Inputs!$B$7*12,(Inputs!$B$4*(1-Inputs!$B$5)))*12)/12,(Inputs!$B$4*(1-Inputs!$B$5))),2))</f>
        <v>282323.22</v>
      </c>
      <c r="G54" s="34" t="n">
        <f aca="false">IF(12&gt;=Inputs!$B$7,0,ROUND(-FV(Inputs!$B$6/12,12*12,-(-PMT(Inputs!$B$6/12,Inputs!$B$7*12,(Inputs!$B$4*(1-Inputs!$B$5)))*12)/12,(Inputs!$B$4*(1-Inputs!$B$5))),2))</f>
        <v>282323.22</v>
      </c>
      <c r="H54" s="34" t="n">
        <f aca="false">IF(12&gt;=Inputs!$B$7,0,ROUND(-FV(Inputs!$B$6/12,12*12,-(-PMT(Inputs!$B$6/12,Inputs!$B$7*12,(Inputs!$B$4*(1-Inputs!$B$5)))*12)/12,(Inputs!$B$4*(1-Inputs!$B$5))),2))</f>
        <v>282323.22</v>
      </c>
    </row>
    <row r="55" customFormat="false" ht="15" hidden="true" customHeight="true" outlineLevel="0" collapsed="false">
      <c r="B55" s="34" t="n">
        <f aca="false">IF(13&gt;=Inputs!$B$7,0,ROUND(-FV(Inputs!$B$6/12,13*12,-(-PMT(Inputs!$B$6/12,Inputs!$B$7*12,(Inputs!$B$4*(1-Inputs!$B$5)))*12)/12,(Inputs!$B$4*(1-Inputs!$B$5))),2))</f>
        <v>274431.31</v>
      </c>
      <c r="C55" s="34" t="n">
        <f aca="false">IF(13&gt;=Inputs!$B$7,0,ROUND(-FV(Inputs!$B$6/12,13*12,-(-PMT(Inputs!$B$6/12,Inputs!$B$7*12,(Inputs!$B$4*(1-Inputs!$B$5)))*12)/12,(Inputs!$B$4*(1-Inputs!$B$5))),2))</f>
        <v>274431.31</v>
      </c>
      <c r="D55" s="34" t="n">
        <f aca="false">IF(13&gt;=Inputs!$B$7,0,ROUND(-FV(Inputs!$B$6/12,13*12,-(-PMT(Inputs!$B$6/12,Inputs!$B$7*12,(Inputs!$B$4*(1-Inputs!$B$5)))*12)/12,(Inputs!$B$4*(1-Inputs!$B$5))),2))</f>
        <v>274431.31</v>
      </c>
      <c r="E55" s="34" t="n">
        <f aca="false">IF(13&gt;=Inputs!$B$7,0,ROUND(-FV(Inputs!$B$6/12,13*12,-(-PMT(Inputs!$B$6/12,Inputs!$B$7*12,(Inputs!$B$4*(1-Inputs!$B$5)))*12)/12,(Inputs!$B$4*(1-Inputs!$B$5))),2))</f>
        <v>274431.31</v>
      </c>
      <c r="F55" s="34" t="n">
        <f aca="false">IF(13&gt;=Inputs!$B$7,0,ROUND(-FV(Inputs!$B$6/12,13*12,-(-PMT(Inputs!$B$6/12,Inputs!$B$7*12,(Inputs!$B$4*(1-Inputs!$B$5)))*12)/12,(Inputs!$B$4*(1-Inputs!$B$5))),2))</f>
        <v>274431.31</v>
      </c>
      <c r="G55" s="34" t="n">
        <f aca="false">IF(13&gt;=Inputs!$B$7,0,ROUND(-FV(Inputs!$B$6/12,13*12,-(-PMT(Inputs!$B$6/12,Inputs!$B$7*12,(Inputs!$B$4*(1-Inputs!$B$5)))*12)/12,(Inputs!$B$4*(1-Inputs!$B$5))),2))</f>
        <v>274431.31</v>
      </c>
      <c r="H55" s="34" t="n">
        <f aca="false">IF(13&gt;=Inputs!$B$7,0,ROUND(-FV(Inputs!$B$6/12,13*12,-(-PMT(Inputs!$B$6/12,Inputs!$B$7*12,(Inputs!$B$4*(1-Inputs!$B$5)))*12)/12,(Inputs!$B$4*(1-Inputs!$B$5))),2))</f>
        <v>274431.31</v>
      </c>
    </row>
    <row r="56" customFormat="false" ht="15" hidden="true" customHeight="true" outlineLevel="0" collapsed="false">
      <c r="B56" s="34" t="n">
        <f aca="false">IF(14&gt;=Inputs!$B$7,0,ROUND(-FV(Inputs!$B$6/12,14*12,-(-PMT(Inputs!$B$6/12,Inputs!$B$7*12,(Inputs!$B$4*(1-Inputs!$B$5)))*12)/12,(Inputs!$B$4*(1-Inputs!$B$5))),2))</f>
        <v>265945.3</v>
      </c>
      <c r="C56" s="34" t="n">
        <f aca="false">IF(14&gt;=Inputs!$B$7,0,ROUND(-FV(Inputs!$B$6/12,14*12,-(-PMT(Inputs!$B$6/12,Inputs!$B$7*12,(Inputs!$B$4*(1-Inputs!$B$5)))*12)/12,(Inputs!$B$4*(1-Inputs!$B$5))),2))</f>
        <v>265945.3</v>
      </c>
      <c r="D56" s="34" t="n">
        <f aca="false">IF(14&gt;=Inputs!$B$7,0,ROUND(-FV(Inputs!$B$6/12,14*12,-(-PMT(Inputs!$B$6/12,Inputs!$B$7*12,(Inputs!$B$4*(1-Inputs!$B$5)))*12)/12,(Inputs!$B$4*(1-Inputs!$B$5))),2))</f>
        <v>265945.3</v>
      </c>
      <c r="E56" s="34" t="n">
        <f aca="false">IF(14&gt;=Inputs!$B$7,0,ROUND(-FV(Inputs!$B$6/12,14*12,-(-PMT(Inputs!$B$6/12,Inputs!$B$7*12,(Inputs!$B$4*(1-Inputs!$B$5)))*12)/12,(Inputs!$B$4*(1-Inputs!$B$5))),2))</f>
        <v>265945.3</v>
      </c>
      <c r="F56" s="34" t="n">
        <f aca="false">IF(14&gt;=Inputs!$B$7,0,ROUND(-FV(Inputs!$B$6/12,14*12,-(-PMT(Inputs!$B$6/12,Inputs!$B$7*12,(Inputs!$B$4*(1-Inputs!$B$5)))*12)/12,(Inputs!$B$4*(1-Inputs!$B$5))),2))</f>
        <v>265945.3</v>
      </c>
      <c r="G56" s="34" t="n">
        <f aca="false">IF(14&gt;=Inputs!$B$7,0,ROUND(-FV(Inputs!$B$6/12,14*12,-(-PMT(Inputs!$B$6/12,Inputs!$B$7*12,(Inputs!$B$4*(1-Inputs!$B$5)))*12)/12,(Inputs!$B$4*(1-Inputs!$B$5))),2))</f>
        <v>265945.3</v>
      </c>
      <c r="H56" s="34" t="n">
        <f aca="false">IF(14&gt;=Inputs!$B$7,0,ROUND(-FV(Inputs!$B$6/12,14*12,-(-PMT(Inputs!$B$6/12,Inputs!$B$7*12,(Inputs!$B$4*(1-Inputs!$B$5)))*12)/12,(Inputs!$B$4*(1-Inputs!$B$5))),2))</f>
        <v>265945.3</v>
      </c>
    </row>
    <row r="57" customFormat="false" ht="15" hidden="true" customHeight="true" outlineLevel="0" collapsed="false">
      <c r="B57" s="34" t="n">
        <f aca="false">IF(15&gt;=Inputs!$B$7,0,ROUND(-FV(Inputs!$B$6/12,15*12,-(-PMT(Inputs!$B$6/12,Inputs!$B$7*12,(Inputs!$B$4*(1-Inputs!$B$5)))*12)/12,(Inputs!$B$4*(1-Inputs!$B$5))),2))</f>
        <v>256820.48</v>
      </c>
      <c r="C57" s="34" t="n">
        <f aca="false">IF(15&gt;=Inputs!$B$7,0,ROUND(-FV(Inputs!$B$6/12,15*12,-(-PMT(Inputs!$B$6/12,Inputs!$B$7*12,(Inputs!$B$4*(1-Inputs!$B$5)))*12)/12,(Inputs!$B$4*(1-Inputs!$B$5))),2))</f>
        <v>256820.48</v>
      </c>
      <c r="D57" s="34" t="n">
        <f aca="false">IF(15&gt;=Inputs!$B$7,0,ROUND(-FV(Inputs!$B$6/12,15*12,-(-PMT(Inputs!$B$6/12,Inputs!$B$7*12,(Inputs!$B$4*(1-Inputs!$B$5)))*12)/12,(Inputs!$B$4*(1-Inputs!$B$5))),2))</f>
        <v>256820.48</v>
      </c>
      <c r="E57" s="34" t="n">
        <f aca="false">IF(15&gt;=Inputs!$B$7,0,ROUND(-FV(Inputs!$B$6/12,15*12,-(-PMT(Inputs!$B$6/12,Inputs!$B$7*12,(Inputs!$B$4*(1-Inputs!$B$5)))*12)/12,(Inputs!$B$4*(1-Inputs!$B$5))),2))</f>
        <v>256820.48</v>
      </c>
      <c r="F57" s="34" t="n">
        <f aca="false">IF(15&gt;=Inputs!$B$7,0,ROUND(-FV(Inputs!$B$6/12,15*12,-(-PMT(Inputs!$B$6/12,Inputs!$B$7*12,(Inputs!$B$4*(1-Inputs!$B$5)))*12)/12,(Inputs!$B$4*(1-Inputs!$B$5))),2))</f>
        <v>256820.48</v>
      </c>
      <c r="G57" s="34" t="n">
        <f aca="false">IF(15&gt;=Inputs!$B$7,0,ROUND(-FV(Inputs!$B$6/12,15*12,-(-PMT(Inputs!$B$6/12,Inputs!$B$7*12,(Inputs!$B$4*(1-Inputs!$B$5)))*12)/12,(Inputs!$B$4*(1-Inputs!$B$5))),2))</f>
        <v>256820.48</v>
      </c>
      <c r="H57" s="34" t="n">
        <f aca="false">IF(15&gt;=Inputs!$B$7,0,ROUND(-FV(Inputs!$B$6/12,15*12,-(-PMT(Inputs!$B$6/12,Inputs!$B$7*12,(Inputs!$B$4*(1-Inputs!$B$5)))*12)/12,(Inputs!$B$4*(1-Inputs!$B$5))),2))</f>
        <v>256820.48</v>
      </c>
    </row>
    <row r="58" customFormat="false" ht="15" hidden="true" customHeight="true" outlineLevel="0" collapsed="false">
      <c r="B58" s="34" t="n">
        <f aca="false">IF(16&gt;=Inputs!$B$7,0,ROUND(-FV(Inputs!$B$6/12,16*12,-(-PMT(Inputs!$B$6/12,Inputs!$B$7*12,(Inputs!$B$4*(1-Inputs!$B$5)))*12)/12,(Inputs!$B$4*(1-Inputs!$B$5))),2))</f>
        <v>247008.75</v>
      </c>
      <c r="C58" s="34" t="n">
        <f aca="false">IF(16&gt;=Inputs!$B$7,0,ROUND(-FV(Inputs!$B$6/12,16*12,-(-PMT(Inputs!$B$6/12,Inputs!$B$7*12,(Inputs!$B$4*(1-Inputs!$B$5)))*12)/12,(Inputs!$B$4*(1-Inputs!$B$5))),2))</f>
        <v>247008.75</v>
      </c>
      <c r="D58" s="34" t="n">
        <f aca="false">IF(16&gt;=Inputs!$B$7,0,ROUND(-FV(Inputs!$B$6/12,16*12,-(-PMT(Inputs!$B$6/12,Inputs!$B$7*12,(Inputs!$B$4*(1-Inputs!$B$5)))*12)/12,(Inputs!$B$4*(1-Inputs!$B$5))),2))</f>
        <v>247008.75</v>
      </c>
      <c r="E58" s="34" t="n">
        <f aca="false">IF(16&gt;=Inputs!$B$7,0,ROUND(-FV(Inputs!$B$6/12,16*12,-(-PMT(Inputs!$B$6/12,Inputs!$B$7*12,(Inputs!$B$4*(1-Inputs!$B$5)))*12)/12,(Inputs!$B$4*(1-Inputs!$B$5))),2))</f>
        <v>247008.75</v>
      </c>
      <c r="F58" s="34" t="n">
        <f aca="false">IF(16&gt;=Inputs!$B$7,0,ROUND(-FV(Inputs!$B$6/12,16*12,-(-PMT(Inputs!$B$6/12,Inputs!$B$7*12,(Inputs!$B$4*(1-Inputs!$B$5)))*12)/12,(Inputs!$B$4*(1-Inputs!$B$5))),2))</f>
        <v>247008.75</v>
      </c>
      <c r="G58" s="34" t="n">
        <f aca="false">IF(16&gt;=Inputs!$B$7,0,ROUND(-FV(Inputs!$B$6/12,16*12,-(-PMT(Inputs!$B$6/12,Inputs!$B$7*12,(Inputs!$B$4*(1-Inputs!$B$5)))*12)/12,(Inputs!$B$4*(1-Inputs!$B$5))),2))</f>
        <v>247008.75</v>
      </c>
      <c r="H58" s="34" t="n">
        <f aca="false">IF(16&gt;=Inputs!$B$7,0,ROUND(-FV(Inputs!$B$6/12,16*12,-(-PMT(Inputs!$B$6/12,Inputs!$B$7*12,(Inputs!$B$4*(1-Inputs!$B$5)))*12)/12,(Inputs!$B$4*(1-Inputs!$B$5))),2))</f>
        <v>247008.75</v>
      </c>
    </row>
    <row r="59" customFormat="false" ht="15" hidden="true" customHeight="true" outlineLevel="0" collapsed="false">
      <c r="B59" s="34" t="n">
        <f aca="false">IF(17&gt;=Inputs!$B$7,0,ROUND(-FV(Inputs!$B$6/12,17*12,-(-PMT(Inputs!$B$6/12,Inputs!$B$7*12,(Inputs!$B$4*(1-Inputs!$B$5)))*12)/12,(Inputs!$B$4*(1-Inputs!$B$5))),2))</f>
        <v>236458.4</v>
      </c>
      <c r="C59" s="34" t="n">
        <f aca="false">IF(17&gt;=Inputs!$B$7,0,ROUND(-FV(Inputs!$B$6/12,17*12,-(-PMT(Inputs!$B$6/12,Inputs!$B$7*12,(Inputs!$B$4*(1-Inputs!$B$5)))*12)/12,(Inputs!$B$4*(1-Inputs!$B$5))),2))</f>
        <v>236458.4</v>
      </c>
      <c r="D59" s="34" t="n">
        <f aca="false">IF(17&gt;=Inputs!$B$7,0,ROUND(-FV(Inputs!$B$6/12,17*12,-(-PMT(Inputs!$B$6/12,Inputs!$B$7*12,(Inputs!$B$4*(1-Inputs!$B$5)))*12)/12,(Inputs!$B$4*(1-Inputs!$B$5))),2))</f>
        <v>236458.4</v>
      </c>
      <c r="E59" s="34" t="n">
        <f aca="false">IF(17&gt;=Inputs!$B$7,0,ROUND(-FV(Inputs!$B$6/12,17*12,-(-PMT(Inputs!$B$6/12,Inputs!$B$7*12,(Inputs!$B$4*(1-Inputs!$B$5)))*12)/12,(Inputs!$B$4*(1-Inputs!$B$5))),2))</f>
        <v>236458.4</v>
      </c>
      <c r="F59" s="34" t="n">
        <f aca="false">IF(17&gt;=Inputs!$B$7,0,ROUND(-FV(Inputs!$B$6/12,17*12,-(-PMT(Inputs!$B$6/12,Inputs!$B$7*12,(Inputs!$B$4*(1-Inputs!$B$5)))*12)/12,(Inputs!$B$4*(1-Inputs!$B$5))),2))</f>
        <v>236458.4</v>
      </c>
      <c r="G59" s="34" t="n">
        <f aca="false">IF(17&gt;=Inputs!$B$7,0,ROUND(-FV(Inputs!$B$6/12,17*12,-(-PMT(Inputs!$B$6/12,Inputs!$B$7*12,(Inputs!$B$4*(1-Inputs!$B$5)))*12)/12,(Inputs!$B$4*(1-Inputs!$B$5))),2))</f>
        <v>236458.4</v>
      </c>
      <c r="H59" s="34" t="n">
        <f aca="false">IF(17&gt;=Inputs!$B$7,0,ROUND(-FV(Inputs!$B$6/12,17*12,-(-PMT(Inputs!$B$6/12,Inputs!$B$7*12,(Inputs!$B$4*(1-Inputs!$B$5)))*12)/12,(Inputs!$B$4*(1-Inputs!$B$5))),2))</f>
        <v>236458.4</v>
      </c>
    </row>
    <row r="60" customFormat="false" ht="15" hidden="true" customHeight="true" outlineLevel="0" collapsed="false">
      <c r="B60" s="34" t="n">
        <f aca="false">IF(18&gt;=Inputs!$B$7,0,ROUND(-FV(Inputs!$B$6/12,18*12,-(-PMT(Inputs!$B$6/12,Inputs!$B$7*12,(Inputs!$B$4*(1-Inputs!$B$5)))*12)/12,(Inputs!$B$4*(1-Inputs!$B$5))),2))</f>
        <v>225113.83</v>
      </c>
      <c r="C60" s="34" t="n">
        <f aca="false">IF(18&gt;=Inputs!$B$7,0,ROUND(-FV(Inputs!$B$6/12,18*12,-(-PMT(Inputs!$B$6/12,Inputs!$B$7*12,(Inputs!$B$4*(1-Inputs!$B$5)))*12)/12,(Inputs!$B$4*(1-Inputs!$B$5))),2))</f>
        <v>225113.83</v>
      </c>
      <c r="D60" s="34" t="n">
        <f aca="false">IF(18&gt;=Inputs!$B$7,0,ROUND(-FV(Inputs!$B$6/12,18*12,-(-PMT(Inputs!$B$6/12,Inputs!$B$7*12,(Inputs!$B$4*(1-Inputs!$B$5)))*12)/12,(Inputs!$B$4*(1-Inputs!$B$5))),2))</f>
        <v>225113.83</v>
      </c>
      <c r="E60" s="34" t="n">
        <f aca="false">IF(18&gt;=Inputs!$B$7,0,ROUND(-FV(Inputs!$B$6/12,18*12,-(-PMT(Inputs!$B$6/12,Inputs!$B$7*12,(Inputs!$B$4*(1-Inputs!$B$5)))*12)/12,(Inputs!$B$4*(1-Inputs!$B$5))),2))</f>
        <v>225113.83</v>
      </c>
      <c r="F60" s="34" t="n">
        <f aca="false">IF(18&gt;=Inputs!$B$7,0,ROUND(-FV(Inputs!$B$6/12,18*12,-(-PMT(Inputs!$B$6/12,Inputs!$B$7*12,(Inputs!$B$4*(1-Inputs!$B$5)))*12)/12,(Inputs!$B$4*(1-Inputs!$B$5))),2))</f>
        <v>225113.83</v>
      </c>
      <c r="G60" s="34" t="n">
        <f aca="false">IF(18&gt;=Inputs!$B$7,0,ROUND(-FV(Inputs!$B$6/12,18*12,-(-PMT(Inputs!$B$6/12,Inputs!$B$7*12,(Inputs!$B$4*(1-Inputs!$B$5)))*12)/12,(Inputs!$B$4*(1-Inputs!$B$5))),2))</f>
        <v>225113.83</v>
      </c>
      <c r="H60" s="34" t="n">
        <f aca="false">IF(18&gt;=Inputs!$B$7,0,ROUND(-FV(Inputs!$B$6/12,18*12,-(-PMT(Inputs!$B$6/12,Inputs!$B$7*12,(Inputs!$B$4*(1-Inputs!$B$5)))*12)/12,(Inputs!$B$4*(1-Inputs!$B$5))),2))</f>
        <v>225113.83</v>
      </c>
    </row>
    <row r="61" customFormat="false" ht="15" hidden="true" customHeight="true" outlineLevel="0" collapsed="false">
      <c r="B61" s="34" t="n">
        <f aca="false">IF(19&gt;=Inputs!$B$7,0,ROUND(-FV(Inputs!$B$6/12,19*12,-(-PMT(Inputs!$B$6/12,Inputs!$B$7*12,(Inputs!$B$4*(1-Inputs!$B$5)))*12)/12,(Inputs!$B$4*(1-Inputs!$B$5))),2))</f>
        <v>212915.26</v>
      </c>
      <c r="C61" s="34" t="n">
        <f aca="false">IF(19&gt;=Inputs!$B$7,0,ROUND(-FV(Inputs!$B$6/12,19*12,-(-PMT(Inputs!$B$6/12,Inputs!$B$7*12,(Inputs!$B$4*(1-Inputs!$B$5)))*12)/12,(Inputs!$B$4*(1-Inputs!$B$5))),2))</f>
        <v>212915.26</v>
      </c>
      <c r="D61" s="34" t="n">
        <f aca="false">IF(19&gt;=Inputs!$B$7,0,ROUND(-FV(Inputs!$B$6/12,19*12,-(-PMT(Inputs!$B$6/12,Inputs!$B$7*12,(Inputs!$B$4*(1-Inputs!$B$5)))*12)/12,(Inputs!$B$4*(1-Inputs!$B$5))),2))</f>
        <v>212915.26</v>
      </c>
      <c r="E61" s="34" t="n">
        <f aca="false">IF(19&gt;=Inputs!$B$7,0,ROUND(-FV(Inputs!$B$6/12,19*12,-(-PMT(Inputs!$B$6/12,Inputs!$B$7*12,(Inputs!$B$4*(1-Inputs!$B$5)))*12)/12,(Inputs!$B$4*(1-Inputs!$B$5))),2))</f>
        <v>212915.26</v>
      </c>
      <c r="F61" s="34" t="n">
        <f aca="false">IF(19&gt;=Inputs!$B$7,0,ROUND(-FV(Inputs!$B$6/12,19*12,-(-PMT(Inputs!$B$6/12,Inputs!$B$7*12,(Inputs!$B$4*(1-Inputs!$B$5)))*12)/12,(Inputs!$B$4*(1-Inputs!$B$5))),2))</f>
        <v>212915.26</v>
      </c>
      <c r="G61" s="34" t="n">
        <f aca="false">IF(19&gt;=Inputs!$B$7,0,ROUND(-FV(Inputs!$B$6/12,19*12,-(-PMT(Inputs!$B$6/12,Inputs!$B$7*12,(Inputs!$B$4*(1-Inputs!$B$5)))*12)/12,(Inputs!$B$4*(1-Inputs!$B$5))),2))</f>
        <v>212915.26</v>
      </c>
      <c r="H61" s="34" t="n">
        <f aca="false">IF(19&gt;=Inputs!$B$7,0,ROUND(-FV(Inputs!$B$6/12,19*12,-(-PMT(Inputs!$B$6/12,Inputs!$B$7*12,(Inputs!$B$4*(1-Inputs!$B$5)))*12)/12,(Inputs!$B$4*(1-Inputs!$B$5))),2))</f>
        <v>212915.26</v>
      </c>
    </row>
    <row r="62" customFormat="false" ht="15" hidden="true" customHeight="true" outlineLevel="0" collapsed="false">
      <c r="B62" s="34" t="n">
        <f aca="false">IF(20&gt;=Inputs!$B$7,0,ROUND(-FV(Inputs!$B$6/12,20*12,-(-PMT(Inputs!$B$6/12,Inputs!$B$7*12,(Inputs!$B$4*(1-Inputs!$B$5)))*12)/12,(Inputs!$B$4*(1-Inputs!$B$5))),2))</f>
        <v>199798.39</v>
      </c>
      <c r="C62" s="34" t="n">
        <f aca="false">IF(20&gt;=Inputs!$B$7,0,ROUND(-FV(Inputs!$B$6/12,20*12,-(-PMT(Inputs!$B$6/12,Inputs!$B$7*12,(Inputs!$B$4*(1-Inputs!$B$5)))*12)/12,(Inputs!$B$4*(1-Inputs!$B$5))),2))</f>
        <v>199798.39</v>
      </c>
      <c r="D62" s="34" t="n">
        <f aca="false">IF(20&gt;=Inputs!$B$7,0,ROUND(-FV(Inputs!$B$6/12,20*12,-(-PMT(Inputs!$B$6/12,Inputs!$B$7*12,(Inputs!$B$4*(1-Inputs!$B$5)))*12)/12,(Inputs!$B$4*(1-Inputs!$B$5))),2))</f>
        <v>199798.39</v>
      </c>
      <c r="E62" s="34" t="n">
        <f aca="false">IF(20&gt;=Inputs!$B$7,0,ROUND(-FV(Inputs!$B$6/12,20*12,-(-PMT(Inputs!$B$6/12,Inputs!$B$7*12,(Inputs!$B$4*(1-Inputs!$B$5)))*12)/12,(Inputs!$B$4*(1-Inputs!$B$5))),2))</f>
        <v>199798.39</v>
      </c>
      <c r="F62" s="34" t="n">
        <f aca="false">IF(20&gt;=Inputs!$B$7,0,ROUND(-FV(Inputs!$B$6/12,20*12,-(-PMT(Inputs!$B$6/12,Inputs!$B$7*12,(Inputs!$B$4*(1-Inputs!$B$5)))*12)/12,(Inputs!$B$4*(1-Inputs!$B$5))),2))</f>
        <v>199798.39</v>
      </c>
      <c r="G62" s="34" t="n">
        <f aca="false">IF(20&gt;=Inputs!$B$7,0,ROUND(-FV(Inputs!$B$6/12,20*12,-(-PMT(Inputs!$B$6/12,Inputs!$B$7*12,(Inputs!$B$4*(1-Inputs!$B$5)))*12)/12,(Inputs!$B$4*(1-Inputs!$B$5))),2))</f>
        <v>199798.39</v>
      </c>
      <c r="H62" s="34" t="n">
        <f aca="false">IF(20&gt;=Inputs!$B$7,0,ROUND(-FV(Inputs!$B$6/12,20*12,-(-PMT(Inputs!$B$6/12,Inputs!$B$7*12,(Inputs!$B$4*(1-Inputs!$B$5)))*12)/12,(Inputs!$B$4*(1-Inputs!$B$5))),2))</f>
        <v>199798.39</v>
      </c>
    </row>
    <row r="63" customFormat="false" ht="15" hidden="true" customHeight="true" outlineLevel="0" collapsed="false">
      <c r="B63" s="34" t="n">
        <f aca="false">IF(21&gt;=Inputs!$B$7,0,ROUND(-FV(Inputs!$B$6/12,21*12,-(-PMT(Inputs!$B$6/12,Inputs!$B$7*12,(Inputs!$B$4*(1-Inputs!$B$5)))*12)/12,(Inputs!$B$4*(1-Inputs!$B$5))),2))</f>
        <v>185694.1</v>
      </c>
      <c r="C63" s="34" t="n">
        <f aca="false">IF(21&gt;=Inputs!$B$7,0,ROUND(-FV(Inputs!$B$6/12,21*12,-(-PMT(Inputs!$B$6/12,Inputs!$B$7*12,(Inputs!$B$4*(1-Inputs!$B$5)))*12)/12,(Inputs!$B$4*(1-Inputs!$B$5))),2))</f>
        <v>185694.1</v>
      </c>
      <c r="D63" s="34" t="n">
        <f aca="false">IF(21&gt;=Inputs!$B$7,0,ROUND(-FV(Inputs!$B$6/12,21*12,-(-PMT(Inputs!$B$6/12,Inputs!$B$7*12,(Inputs!$B$4*(1-Inputs!$B$5)))*12)/12,(Inputs!$B$4*(1-Inputs!$B$5))),2))</f>
        <v>185694.1</v>
      </c>
      <c r="E63" s="34" t="n">
        <f aca="false">IF(21&gt;=Inputs!$B$7,0,ROUND(-FV(Inputs!$B$6/12,21*12,-(-PMT(Inputs!$B$6/12,Inputs!$B$7*12,(Inputs!$B$4*(1-Inputs!$B$5)))*12)/12,(Inputs!$B$4*(1-Inputs!$B$5))),2))</f>
        <v>185694.1</v>
      </c>
      <c r="F63" s="34" t="n">
        <f aca="false">IF(21&gt;=Inputs!$B$7,0,ROUND(-FV(Inputs!$B$6/12,21*12,-(-PMT(Inputs!$B$6/12,Inputs!$B$7*12,(Inputs!$B$4*(1-Inputs!$B$5)))*12)/12,(Inputs!$B$4*(1-Inputs!$B$5))),2))</f>
        <v>185694.1</v>
      </c>
      <c r="G63" s="34" t="n">
        <f aca="false">IF(21&gt;=Inputs!$B$7,0,ROUND(-FV(Inputs!$B$6/12,21*12,-(-PMT(Inputs!$B$6/12,Inputs!$B$7*12,(Inputs!$B$4*(1-Inputs!$B$5)))*12)/12,(Inputs!$B$4*(1-Inputs!$B$5))),2))</f>
        <v>185694.1</v>
      </c>
      <c r="H63" s="34" t="n">
        <f aca="false">IF(21&gt;=Inputs!$B$7,0,ROUND(-FV(Inputs!$B$6/12,21*12,-(-PMT(Inputs!$B$6/12,Inputs!$B$7*12,(Inputs!$B$4*(1-Inputs!$B$5)))*12)/12,(Inputs!$B$4*(1-Inputs!$B$5))),2))</f>
        <v>185694.1</v>
      </c>
    </row>
    <row r="64" customFormat="false" ht="15" hidden="true" customHeight="true" outlineLevel="0" collapsed="false">
      <c r="B64" s="34" t="n">
        <f aca="false">IF(22&gt;=Inputs!$B$7,0,ROUND(-FV(Inputs!$B$6/12,22*12,-(-PMT(Inputs!$B$6/12,Inputs!$B$7*12,(Inputs!$B$4*(1-Inputs!$B$5)))*12)/12,(Inputs!$B$4*(1-Inputs!$B$5))),2))</f>
        <v>170528.06</v>
      </c>
      <c r="C64" s="34" t="n">
        <f aca="false">IF(22&gt;=Inputs!$B$7,0,ROUND(-FV(Inputs!$B$6/12,22*12,-(-PMT(Inputs!$B$6/12,Inputs!$B$7*12,(Inputs!$B$4*(1-Inputs!$B$5)))*12)/12,(Inputs!$B$4*(1-Inputs!$B$5))),2))</f>
        <v>170528.06</v>
      </c>
      <c r="D64" s="34" t="n">
        <f aca="false">IF(22&gt;=Inputs!$B$7,0,ROUND(-FV(Inputs!$B$6/12,22*12,-(-PMT(Inputs!$B$6/12,Inputs!$B$7*12,(Inputs!$B$4*(1-Inputs!$B$5)))*12)/12,(Inputs!$B$4*(1-Inputs!$B$5))),2))</f>
        <v>170528.06</v>
      </c>
      <c r="E64" s="34" t="n">
        <f aca="false">IF(22&gt;=Inputs!$B$7,0,ROUND(-FV(Inputs!$B$6/12,22*12,-(-PMT(Inputs!$B$6/12,Inputs!$B$7*12,(Inputs!$B$4*(1-Inputs!$B$5)))*12)/12,(Inputs!$B$4*(1-Inputs!$B$5))),2))</f>
        <v>170528.06</v>
      </c>
      <c r="F64" s="34" t="n">
        <f aca="false">IF(22&gt;=Inputs!$B$7,0,ROUND(-FV(Inputs!$B$6/12,22*12,-(-PMT(Inputs!$B$6/12,Inputs!$B$7*12,(Inputs!$B$4*(1-Inputs!$B$5)))*12)/12,(Inputs!$B$4*(1-Inputs!$B$5))),2))</f>
        <v>170528.06</v>
      </c>
      <c r="G64" s="34" t="n">
        <f aca="false">IF(22&gt;=Inputs!$B$7,0,ROUND(-FV(Inputs!$B$6/12,22*12,-(-PMT(Inputs!$B$6/12,Inputs!$B$7*12,(Inputs!$B$4*(1-Inputs!$B$5)))*12)/12,(Inputs!$B$4*(1-Inputs!$B$5))),2))</f>
        <v>170528.06</v>
      </c>
      <c r="H64" s="34" t="n">
        <f aca="false">IF(22&gt;=Inputs!$B$7,0,ROUND(-FV(Inputs!$B$6/12,22*12,-(-PMT(Inputs!$B$6/12,Inputs!$B$7*12,(Inputs!$B$4*(1-Inputs!$B$5)))*12)/12,(Inputs!$B$4*(1-Inputs!$B$5))),2))</f>
        <v>170528.06</v>
      </c>
    </row>
    <row r="65" customFormat="false" ht="15" hidden="true" customHeight="true" outlineLevel="0" collapsed="false">
      <c r="B65" s="34" t="n">
        <f aca="false">IF(23&gt;=Inputs!$B$7,0,ROUND(-FV(Inputs!$B$6/12,23*12,-(-PMT(Inputs!$B$6/12,Inputs!$B$7*12,(Inputs!$B$4*(1-Inputs!$B$5)))*12)/12,(Inputs!$B$4*(1-Inputs!$B$5))),2))</f>
        <v>154220.33</v>
      </c>
      <c r="C65" s="34" t="n">
        <f aca="false">IF(23&gt;=Inputs!$B$7,0,ROUND(-FV(Inputs!$B$6/12,23*12,-(-PMT(Inputs!$B$6/12,Inputs!$B$7*12,(Inputs!$B$4*(1-Inputs!$B$5)))*12)/12,(Inputs!$B$4*(1-Inputs!$B$5))),2))</f>
        <v>154220.33</v>
      </c>
      <c r="D65" s="34" t="n">
        <f aca="false">IF(23&gt;=Inputs!$B$7,0,ROUND(-FV(Inputs!$B$6/12,23*12,-(-PMT(Inputs!$B$6/12,Inputs!$B$7*12,(Inputs!$B$4*(1-Inputs!$B$5)))*12)/12,(Inputs!$B$4*(1-Inputs!$B$5))),2))</f>
        <v>154220.33</v>
      </c>
      <c r="E65" s="34" t="n">
        <f aca="false">IF(23&gt;=Inputs!$B$7,0,ROUND(-FV(Inputs!$B$6/12,23*12,-(-PMT(Inputs!$B$6/12,Inputs!$B$7*12,(Inputs!$B$4*(1-Inputs!$B$5)))*12)/12,(Inputs!$B$4*(1-Inputs!$B$5))),2))</f>
        <v>154220.33</v>
      </c>
      <c r="F65" s="34" t="n">
        <f aca="false">IF(23&gt;=Inputs!$B$7,0,ROUND(-FV(Inputs!$B$6/12,23*12,-(-PMT(Inputs!$B$6/12,Inputs!$B$7*12,(Inputs!$B$4*(1-Inputs!$B$5)))*12)/12,(Inputs!$B$4*(1-Inputs!$B$5))),2))</f>
        <v>154220.33</v>
      </c>
      <c r="G65" s="34" t="n">
        <f aca="false">IF(23&gt;=Inputs!$B$7,0,ROUND(-FV(Inputs!$B$6/12,23*12,-(-PMT(Inputs!$B$6/12,Inputs!$B$7*12,(Inputs!$B$4*(1-Inputs!$B$5)))*12)/12,(Inputs!$B$4*(1-Inputs!$B$5))),2))</f>
        <v>154220.33</v>
      </c>
      <c r="H65" s="34" t="n">
        <f aca="false">IF(23&gt;=Inputs!$B$7,0,ROUND(-FV(Inputs!$B$6/12,23*12,-(-PMT(Inputs!$B$6/12,Inputs!$B$7*12,(Inputs!$B$4*(1-Inputs!$B$5)))*12)/12,(Inputs!$B$4*(1-Inputs!$B$5))),2))</f>
        <v>154220.33</v>
      </c>
    </row>
    <row r="66" customFormat="false" ht="15" hidden="true" customHeight="true" outlineLevel="0" collapsed="false">
      <c r="B66" s="34" t="n">
        <f aca="false">IF(24&gt;=Inputs!$B$7,0,ROUND(-FV(Inputs!$B$6/12,24*12,-(-PMT(Inputs!$B$6/12,Inputs!$B$7*12,(Inputs!$B$4*(1-Inputs!$B$5)))*12)/12,(Inputs!$B$4*(1-Inputs!$B$5))),2))</f>
        <v>136684.97</v>
      </c>
      <c r="C66" s="34" t="n">
        <f aca="false">IF(24&gt;=Inputs!$B$7,0,ROUND(-FV(Inputs!$B$6/12,24*12,-(-PMT(Inputs!$B$6/12,Inputs!$B$7*12,(Inputs!$B$4*(1-Inputs!$B$5)))*12)/12,(Inputs!$B$4*(1-Inputs!$B$5))),2))</f>
        <v>136684.97</v>
      </c>
      <c r="D66" s="34" t="n">
        <f aca="false">IF(24&gt;=Inputs!$B$7,0,ROUND(-FV(Inputs!$B$6/12,24*12,-(-PMT(Inputs!$B$6/12,Inputs!$B$7*12,(Inputs!$B$4*(1-Inputs!$B$5)))*12)/12,(Inputs!$B$4*(1-Inputs!$B$5))),2))</f>
        <v>136684.97</v>
      </c>
      <c r="E66" s="34" t="n">
        <f aca="false">IF(24&gt;=Inputs!$B$7,0,ROUND(-FV(Inputs!$B$6/12,24*12,-(-PMT(Inputs!$B$6/12,Inputs!$B$7*12,(Inputs!$B$4*(1-Inputs!$B$5)))*12)/12,(Inputs!$B$4*(1-Inputs!$B$5))),2))</f>
        <v>136684.97</v>
      </c>
      <c r="F66" s="34" t="n">
        <f aca="false">IF(24&gt;=Inputs!$B$7,0,ROUND(-FV(Inputs!$B$6/12,24*12,-(-PMT(Inputs!$B$6/12,Inputs!$B$7*12,(Inputs!$B$4*(1-Inputs!$B$5)))*12)/12,(Inputs!$B$4*(1-Inputs!$B$5))),2))</f>
        <v>136684.97</v>
      </c>
      <c r="G66" s="34" t="n">
        <f aca="false">IF(24&gt;=Inputs!$B$7,0,ROUND(-FV(Inputs!$B$6/12,24*12,-(-PMT(Inputs!$B$6/12,Inputs!$B$7*12,(Inputs!$B$4*(1-Inputs!$B$5)))*12)/12,(Inputs!$B$4*(1-Inputs!$B$5))),2))</f>
        <v>136684.97</v>
      </c>
      <c r="H66" s="34" t="n">
        <f aca="false">IF(24&gt;=Inputs!$B$7,0,ROUND(-FV(Inputs!$B$6/12,24*12,-(-PMT(Inputs!$B$6/12,Inputs!$B$7*12,(Inputs!$B$4*(1-Inputs!$B$5)))*12)/12,(Inputs!$B$4*(1-Inputs!$B$5))),2))</f>
        <v>136684.97</v>
      </c>
    </row>
    <row r="67" customFormat="false" ht="15" hidden="true" customHeight="true" outlineLevel="0" collapsed="false">
      <c r="B67" s="34" t="n">
        <f aca="false">IF(25&gt;=Inputs!$B$7,0,ROUND(-FV(Inputs!$B$6/12,25*12,-(-PMT(Inputs!$B$6/12,Inputs!$B$7*12,(Inputs!$B$4*(1-Inputs!$B$5)))*12)/12,(Inputs!$B$4*(1-Inputs!$B$5))),2))</f>
        <v>117829.57</v>
      </c>
      <c r="C67" s="34" t="n">
        <f aca="false">IF(25&gt;=Inputs!$B$7,0,ROUND(-FV(Inputs!$B$6/12,25*12,-(-PMT(Inputs!$B$6/12,Inputs!$B$7*12,(Inputs!$B$4*(1-Inputs!$B$5)))*12)/12,(Inputs!$B$4*(1-Inputs!$B$5))),2))</f>
        <v>117829.57</v>
      </c>
      <c r="D67" s="34" t="n">
        <f aca="false">IF(25&gt;=Inputs!$B$7,0,ROUND(-FV(Inputs!$B$6/12,25*12,-(-PMT(Inputs!$B$6/12,Inputs!$B$7*12,(Inputs!$B$4*(1-Inputs!$B$5)))*12)/12,(Inputs!$B$4*(1-Inputs!$B$5))),2))</f>
        <v>117829.57</v>
      </c>
      <c r="E67" s="34" t="n">
        <f aca="false">IF(25&gt;=Inputs!$B$7,0,ROUND(-FV(Inputs!$B$6/12,25*12,-(-PMT(Inputs!$B$6/12,Inputs!$B$7*12,(Inputs!$B$4*(1-Inputs!$B$5)))*12)/12,(Inputs!$B$4*(1-Inputs!$B$5))),2))</f>
        <v>117829.57</v>
      </c>
      <c r="F67" s="34" t="n">
        <f aca="false">IF(25&gt;=Inputs!$B$7,0,ROUND(-FV(Inputs!$B$6/12,25*12,-(-PMT(Inputs!$B$6/12,Inputs!$B$7*12,(Inputs!$B$4*(1-Inputs!$B$5)))*12)/12,(Inputs!$B$4*(1-Inputs!$B$5))),2))</f>
        <v>117829.57</v>
      </c>
      <c r="G67" s="34" t="n">
        <f aca="false">IF(25&gt;=Inputs!$B$7,0,ROUND(-FV(Inputs!$B$6/12,25*12,-(-PMT(Inputs!$B$6/12,Inputs!$B$7*12,(Inputs!$B$4*(1-Inputs!$B$5)))*12)/12,(Inputs!$B$4*(1-Inputs!$B$5))),2))</f>
        <v>117829.57</v>
      </c>
      <c r="H67" s="34" t="n">
        <f aca="false">IF(25&gt;=Inputs!$B$7,0,ROUND(-FV(Inputs!$B$6/12,25*12,-(-PMT(Inputs!$B$6/12,Inputs!$B$7*12,(Inputs!$B$4*(1-Inputs!$B$5)))*12)/12,(Inputs!$B$4*(1-Inputs!$B$5))),2))</f>
        <v>117829.57</v>
      </c>
    </row>
    <row r="68" customFormat="false" ht="15" hidden="true" customHeight="true" outlineLevel="0" collapsed="false">
      <c r="B68" s="34" t="n">
        <f aca="false">IF(26&gt;=Inputs!$B$7,0,ROUND(-FV(Inputs!$B$6/12,26*12,-(-PMT(Inputs!$B$6/12,Inputs!$B$7*12,(Inputs!$B$4*(1-Inputs!$B$5)))*12)/12,(Inputs!$B$4*(1-Inputs!$B$5))),2))</f>
        <v>97554.76</v>
      </c>
      <c r="C68" s="34" t="n">
        <f aca="false">IF(26&gt;=Inputs!$B$7,0,ROUND(-FV(Inputs!$B$6/12,26*12,-(-PMT(Inputs!$B$6/12,Inputs!$B$7*12,(Inputs!$B$4*(1-Inputs!$B$5)))*12)/12,(Inputs!$B$4*(1-Inputs!$B$5))),2))</f>
        <v>97554.76</v>
      </c>
      <c r="D68" s="34" t="n">
        <f aca="false">IF(26&gt;=Inputs!$B$7,0,ROUND(-FV(Inputs!$B$6/12,26*12,-(-PMT(Inputs!$B$6/12,Inputs!$B$7*12,(Inputs!$B$4*(1-Inputs!$B$5)))*12)/12,(Inputs!$B$4*(1-Inputs!$B$5))),2))</f>
        <v>97554.76</v>
      </c>
      <c r="E68" s="34" t="n">
        <f aca="false">IF(26&gt;=Inputs!$B$7,0,ROUND(-FV(Inputs!$B$6/12,26*12,-(-PMT(Inputs!$B$6/12,Inputs!$B$7*12,(Inputs!$B$4*(1-Inputs!$B$5)))*12)/12,(Inputs!$B$4*(1-Inputs!$B$5))),2))</f>
        <v>97554.76</v>
      </c>
      <c r="F68" s="34" t="n">
        <f aca="false">IF(26&gt;=Inputs!$B$7,0,ROUND(-FV(Inputs!$B$6/12,26*12,-(-PMT(Inputs!$B$6/12,Inputs!$B$7*12,(Inputs!$B$4*(1-Inputs!$B$5)))*12)/12,(Inputs!$B$4*(1-Inputs!$B$5))),2))</f>
        <v>97554.76</v>
      </c>
      <c r="G68" s="34" t="n">
        <f aca="false">IF(26&gt;=Inputs!$B$7,0,ROUND(-FV(Inputs!$B$6/12,26*12,-(-PMT(Inputs!$B$6/12,Inputs!$B$7*12,(Inputs!$B$4*(1-Inputs!$B$5)))*12)/12,(Inputs!$B$4*(1-Inputs!$B$5))),2))</f>
        <v>97554.76</v>
      </c>
      <c r="H68" s="34" t="n">
        <f aca="false">IF(26&gt;=Inputs!$B$7,0,ROUND(-FV(Inputs!$B$6/12,26*12,-(-PMT(Inputs!$B$6/12,Inputs!$B$7*12,(Inputs!$B$4*(1-Inputs!$B$5)))*12)/12,(Inputs!$B$4*(1-Inputs!$B$5))),2))</f>
        <v>97554.76</v>
      </c>
    </row>
    <row r="69" customFormat="false" ht="15" hidden="true" customHeight="true" outlineLevel="0" collapsed="false">
      <c r="B69" s="34" t="n">
        <f aca="false">IF(27&gt;=Inputs!$B$7,0,ROUND(-FV(Inputs!$B$6/12,27*12,-(-PMT(Inputs!$B$6/12,Inputs!$B$7*12,(Inputs!$B$4*(1-Inputs!$B$5)))*12)/12,(Inputs!$B$4*(1-Inputs!$B$5))),2))</f>
        <v>75753.68</v>
      </c>
      <c r="C69" s="34" t="n">
        <f aca="false">IF(27&gt;=Inputs!$B$7,0,ROUND(-FV(Inputs!$B$6/12,27*12,-(-PMT(Inputs!$B$6/12,Inputs!$B$7*12,(Inputs!$B$4*(1-Inputs!$B$5)))*12)/12,(Inputs!$B$4*(1-Inputs!$B$5))),2))</f>
        <v>75753.68</v>
      </c>
      <c r="D69" s="34" t="n">
        <f aca="false">IF(27&gt;=Inputs!$B$7,0,ROUND(-FV(Inputs!$B$6/12,27*12,-(-PMT(Inputs!$B$6/12,Inputs!$B$7*12,(Inputs!$B$4*(1-Inputs!$B$5)))*12)/12,(Inputs!$B$4*(1-Inputs!$B$5))),2))</f>
        <v>75753.68</v>
      </c>
      <c r="E69" s="34" t="n">
        <f aca="false">IF(27&gt;=Inputs!$B$7,0,ROUND(-FV(Inputs!$B$6/12,27*12,-(-PMT(Inputs!$B$6/12,Inputs!$B$7*12,(Inputs!$B$4*(1-Inputs!$B$5)))*12)/12,(Inputs!$B$4*(1-Inputs!$B$5))),2))</f>
        <v>75753.68</v>
      </c>
      <c r="F69" s="34" t="n">
        <f aca="false">IF(27&gt;=Inputs!$B$7,0,ROUND(-FV(Inputs!$B$6/12,27*12,-(-PMT(Inputs!$B$6/12,Inputs!$B$7*12,(Inputs!$B$4*(1-Inputs!$B$5)))*12)/12,(Inputs!$B$4*(1-Inputs!$B$5))),2))</f>
        <v>75753.68</v>
      </c>
      <c r="G69" s="34" t="n">
        <f aca="false">IF(27&gt;=Inputs!$B$7,0,ROUND(-FV(Inputs!$B$6/12,27*12,-(-PMT(Inputs!$B$6/12,Inputs!$B$7*12,(Inputs!$B$4*(1-Inputs!$B$5)))*12)/12,(Inputs!$B$4*(1-Inputs!$B$5))),2))</f>
        <v>75753.68</v>
      </c>
      <c r="H69" s="34" t="n">
        <f aca="false">IF(27&gt;=Inputs!$B$7,0,ROUND(-FV(Inputs!$B$6/12,27*12,-(-PMT(Inputs!$B$6/12,Inputs!$B$7*12,(Inputs!$B$4*(1-Inputs!$B$5)))*12)/12,(Inputs!$B$4*(1-Inputs!$B$5))),2))</f>
        <v>75753.68</v>
      </c>
    </row>
    <row r="70" customFormat="false" ht="15" hidden="true" customHeight="true" outlineLevel="0" collapsed="false">
      <c r="B70" s="34" t="n">
        <f aca="false">IF(28&gt;=Inputs!$B$7,0,ROUND(-FV(Inputs!$B$6/12,28*12,-(-PMT(Inputs!$B$6/12,Inputs!$B$7*12,(Inputs!$B$4*(1-Inputs!$B$5)))*12)/12,(Inputs!$B$4*(1-Inputs!$B$5))),2))</f>
        <v>52311.44</v>
      </c>
      <c r="C70" s="34" t="n">
        <f aca="false">IF(28&gt;=Inputs!$B$7,0,ROUND(-FV(Inputs!$B$6/12,28*12,-(-PMT(Inputs!$B$6/12,Inputs!$B$7*12,(Inputs!$B$4*(1-Inputs!$B$5)))*12)/12,(Inputs!$B$4*(1-Inputs!$B$5))),2))</f>
        <v>52311.44</v>
      </c>
      <c r="D70" s="34" t="n">
        <f aca="false">IF(28&gt;=Inputs!$B$7,0,ROUND(-FV(Inputs!$B$6/12,28*12,-(-PMT(Inputs!$B$6/12,Inputs!$B$7*12,(Inputs!$B$4*(1-Inputs!$B$5)))*12)/12,(Inputs!$B$4*(1-Inputs!$B$5))),2))</f>
        <v>52311.44</v>
      </c>
      <c r="E70" s="34" t="n">
        <f aca="false">IF(28&gt;=Inputs!$B$7,0,ROUND(-FV(Inputs!$B$6/12,28*12,-(-PMT(Inputs!$B$6/12,Inputs!$B$7*12,(Inputs!$B$4*(1-Inputs!$B$5)))*12)/12,(Inputs!$B$4*(1-Inputs!$B$5))),2))</f>
        <v>52311.44</v>
      </c>
      <c r="F70" s="34" t="n">
        <f aca="false">IF(28&gt;=Inputs!$B$7,0,ROUND(-FV(Inputs!$B$6/12,28*12,-(-PMT(Inputs!$B$6/12,Inputs!$B$7*12,(Inputs!$B$4*(1-Inputs!$B$5)))*12)/12,(Inputs!$B$4*(1-Inputs!$B$5))),2))</f>
        <v>52311.44</v>
      </c>
      <c r="G70" s="34" t="n">
        <f aca="false">IF(28&gt;=Inputs!$B$7,0,ROUND(-FV(Inputs!$B$6/12,28*12,-(-PMT(Inputs!$B$6/12,Inputs!$B$7*12,(Inputs!$B$4*(1-Inputs!$B$5)))*12)/12,(Inputs!$B$4*(1-Inputs!$B$5))),2))</f>
        <v>52311.44</v>
      </c>
      <c r="H70" s="34" t="n">
        <f aca="false">IF(28&gt;=Inputs!$B$7,0,ROUND(-FV(Inputs!$B$6/12,28*12,-(-PMT(Inputs!$B$6/12,Inputs!$B$7*12,(Inputs!$B$4*(1-Inputs!$B$5)))*12)/12,(Inputs!$B$4*(1-Inputs!$B$5))),2))</f>
        <v>52311.44</v>
      </c>
    </row>
    <row r="71" customFormat="false" ht="15" hidden="true" customHeight="true" outlineLevel="0" collapsed="false">
      <c r="B71" s="34" t="n">
        <f aca="false">IF(29&gt;=Inputs!$B$7,0,ROUND(-FV(Inputs!$B$6/12,29*12,-(-PMT(Inputs!$B$6/12,Inputs!$B$7*12,(Inputs!$B$4*(1-Inputs!$B$5)))*12)/12,(Inputs!$B$4*(1-Inputs!$B$5))),2))</f>
        <v>27104.5</v>
      </c>
      <c r="C71" s="34" t="n">
        <f aca="false">IF(29&gt;=Inputs!$B$7,0,ROUND(-FV(Inputs!$B$6/12,29*12,-(-PMT(Inputs!$B$6/12,Inputs!$B$7*12,(Inputs!$B$4*(1-Inputs!$B$5)))*12)/12,(Inputs!$B$4*(1-Inputs!$B$5))),2))</f>
        <v>27104.5</v>
      </c>
      <c r="D71" s="34" t="n">
        <f aca="false">IF(29&gt;=Inputs!$B$7,0,ROUND(-FV(Inputs!$B$6/12,29*12,-(-PMT(Inputs!$B$6/12,Inputs!$B$7*12,(Inputs!$B$4*(1-Inputs!$B$5)))*12)/12,(Inputs!$B$4*(1-Inputs!$B$5))),2))</f>
        <v>27104.5</v>
      </c>
      <c r="E71" s="34" t="n">
        <f aca="false">IF(29&gt;=Inputs!$B$7,0,ROUND(-FV(Inputs!$B$6/12,29*12,-(-PMT(Inputs!$B$6/12,Inputs!$B$7*12,(Inputs!$B$4*(1-Inputs!$B$5)))*12)/12,(Inputs!$B$4*(1-Inputs!$B$5))),2))</f>
        <v>27104.5</v>
      </c>
      <c r="F71" s="34" t="n">
        <f aca="false">IF(29&gt;=Inputs!$B$7,0,ROUND(-FV(Inputs!$B$6/12,29*12,-(-PMT(Inputs!$B$6/12,Inputs!$B$7*12,(Inputs!$B$4*(1-Inputs!$B$5)))*12)/12,(Inputs!$B$4*(1-Inputs!$B$5))),2))</f>
        <v>27104.5</v>
      </c>
      <c r="G71" s="34" t="n">
        <f aca="false">IF(29&gt;=Inputs!$B$7,0,ROUND(-FV(Inputs!$B$6/12,29*12,-(-PMT(Inputs!$B$6/12,Inputs!$B$7*12,(Inputs!$B$4*(1-Inputs!$B$5)))*12)/12,(Inputs!$B$4*(1-Inputs!$B$5))),2))</f>
        <v>27104.5</v>
      </c>
      <c r="H71" s="34" t="n">
        <f aca="false">IF(29&gt;=Inputs!$B$7,0,ROUND(-FV(Inputs!$B$6/12,29*12,-(-PMT(Inputs!$B$6/12,Inputs!$B$7*12,(Inputs!$B$4*(1-Inputs!$B$5)))*12)/12,(Inputs!$B$4*(1-Inputs!$B$5))),2))</f>
        <v>27104.5</v>
      </c>
    </row>
    <row r="72" customFormat="false" ht="15" hidden="true" customHeight="true" outlineLevel="0" collapsed="false">
      <c r="B72" s="34" t="n">
        <f aca="false">IF(30&gt;=Inputs!$B$7,0,ROUND(-FV(Inputs!$B$6/12,30*12,-(-PMT(Inputs!$B$6/12,Inputs!$B$7*12,(Inputs!$B$4*(1-Inputs!$B$5)))*12)/12,(Inputs!$B$4*(1-Inputs!$B$5))),2))</f>
        <v>0</v>
      </c>
      <c r="C72" s="34" t="n">
        <f aca="false">IF(30&gt;=Inputs!$B$7,0,ROUND(-FV(Inputs!$B$6/12,30*12,-(-PMT(Inputs!$B$6/12,Inputs!$B$7*12,(Inputs!$B$4*(1-Inputs!$B$5)))*12)/12,(Inputs!$B$4*(1-Inputs!$B$5))),2))</f>
        <v>0</v>
      </c>
      <c r="D72" s="34" t="n">
        <f aca="false">IF(30&gt;=Inputs!$B$7,0,ROUND(-FV(Inputs!$B$6/12,30*12,-(-PMT(Inputs!$B$6/12,Inputs!$B$7*12,(Inputs!$B$4*(1-Inputs!$B$5)))*12)/12,(Inputs!$B$4*(1-Inputs!$B$5))),2))</f>
        <v>0</v>
      </c>
      <c r="E72" s="34" t="n">
        <f aca="false">IF(30&gt;=Inputs!$B$7,0,ROUND(-FV(Inputs!$B$6/12,30*12,-(-PMT(Inputs!$B$6/12,Inputs!$B$7*12,(Inputs!$B$4*(1-Inputs!$B$5)))*12)/12,(Inputs!$B$4*(1-Inputs!$B$5))),2))</f>
        <v>0</v>
      </c>
      <c r="F72" s="34" t="n">
        <f aca="false">IF(30&gt;=Inputs!$B$7,0,ROUND(-FV(Inputs!$B$6/12,30*12,-(-PMT(Inputs!$B$6/12,Inputs!$B$7*12,(Inputs!$B$4*(1-Inputs!$B$5)))*12)/12,(Inputs!$B$4*(1-Inputs!$B$5))),2))</f>
        <v>0</v>
      </c>
      <c r="G72" s="34" t="n">
        <f aca="false">IF(30&gt;=Inputs!$B$7,0,ROUND(-FV(Inputs!$B$6/12,30*12,-(-PMT(Inputs!$B$6/12,Inputs!$B$7*12,(Inputs!$B$4*(1-Inputs!$B$5)))*12)/12,(Inputs!$B$4*(1-Inputs!$B$5))),2))</f>
        <v>0</v>
      </c>
      <c r="H72" s="34" t="n">
        <f aca="false">IF(30&gt;=Inputs!$B$7,0,ROUND(-FV(Inputs!$B$6/12,30*12,-(-PMT(Inputs!$B$6/12,Inputs!$B$7*12,(Inputs!$B$4*(1-Inputs!$B$5)))*12)/12,(Inputs!$B$4*(1-Inputs!$B$5))),2))</f>
        <v>0</v>
      </c>
    </row>
    <row r="73" customFormat="false" ht="15" hidden="true" customHeight="true" outlineLevel="0" collapsed="false"/>
    <row r="74" customFormat="false" ht="15" hidden="true" customHeight="true" outlineLevel="0" collapsed="false">
      <c r="A74" s="33" t="s">
        <v>93</v>
      </c>
      <c r="B74" s="34" t="n">
        <v>0</v>
      </c>
      <c r="C74" s="34" t="n">
        <v>0</v>
      </c>
      <c r="D74" s="34" t="n">
        <v>0</v>
      </c>
      <c r="E74" s="34" t="n">
        <v>0</v>
      </c>
      <c r="F74" s="34" t="n">
        <v>0</v>
      </c>
      <c r="G74" s="34" t="n">
        <v>0</v>
      </c>
      <c r="H74" s="34" t="n">
        <v>0</v>
      </c>
    </row>
    <row r="75" customFormat="false" ht="15" hidden="true" customHeight="true" outlineLevel="0" collapsed="false">
      <c r="B75" s="34" t="n">
        <f aca="false">IF(1&gt;Inputs!$B$7,0,(-PMT(Inputs!$B$6/12,Inputs!$B$7*12,(Inputs!$B$4*(1-Inputs!$B$5)))*12))+B10*Inputs!$B$9+Inputs!$B$10*(1+Inputs!$B$15)^0+Inputs!$B$11*12*(1+Inputs!$B$15)^0+B10*Inputs!$B$12</f>
        <v>39396.2670698949</v>
      </c>
      <c r="C75" s="34" t="n">
        <f aca="false">IF(1&gt;Inputs!$B$7,0,(-PMT(Inputs!$B$6/12,Inputs!$B$7*12,(Inputs!$B$4*(1-Inputs!$B$5)))*12))+C10*Inputs!$B$9+Inputs!$B$10*(1+Inputs!$B$15)^0+Inputs!$B$11*12*(1+Inputs!$B$15)^0+C10*Inputs!$B$12</f>
        <v>39396.2670698949</v>
      </c>
      <c r="D75" s="34" t="n">
        <f aca="false">IF(1&gt;Inputs!$B$7,0,(-PMT(Inputs!$B$6/12,Inputs!$B$7*12,(Inputs!$B$4*(1-Inputs!$B$5)))*12))+D10*Inputs!$B$9+Inputs!$B$10*(1+Inputs!$B$15)^0+Inputs!$B$11*12*(1+Inputs!$B$15)^0+D10*Inputs!$B$12</f>
        <v>39396.2670698949</v>
      </c>
      <c r="E75" s="34" t="n">
        <f aca="false">IF(1&gt;Inputs!$B$7,0,(-PMT(Inputs!$B$6/12,Inputs!$B$7*12,(Inputs!$B$4*(1-Inputs!$B$5)))*12))+E10*Inputs!$B$9+Inputs!$B$10*(1+Inputs!$B$15)^0+Inputs!$B$11*12*(1+Inputs!$B$15)^0+E10*Inputs!$B$12</f>
        <v>39396.2670698949</v>
      </c>
      <c r="F75" s="34" t="n">
        <f aca="false">IF(1&gt;Inputs!$B$7,0,(-PMT(Inputs!$B$6/12,Inputs!$B$7*12,(Inputs!$B$4*(1-Inputs!$B$5)))*12))+F10*Inputs!$B$9+Inputs!$B$10*(1+Inputs!$B$15)^0+Inputs!$B$11*12*(1+Inputs!$B$15)^0+F10*Inputs!$B$12</f>
        <v>39396.2670698949</v>
      </c>
      <c r="G75" s="34" t="n">
        <f aca="false">IF(1&gt;Inputs!$B$7,0,(-PMT(Inputs!$B$6/12,Inputs!$B$7*12,(Inputs!$B$4*(1-Inputs!$B$5)))*12))+G10*Inputs!$B$9+Inputs!$B$10*(1+Inputs!$B$15)^0+Inputs!$B$11*12*(1+Inputs!$B$15)^0+G10*Inputs!$B$12</f>
        <v>39396.2670698949</v>
      </c>
      <c r="H75" s="34" t="n">
        <f aca="false">IF(1&gt;Inputs!$B$7,0,(-PMT(Inputs!$B$6/12,Inputs!$B$7*12,(Inputs!$B$4*(1-Inputs!$B$5)))*12))+H10*Inputs!$B$9+Inputs!$B$10*(1+Inputs!$B$15)^0+Inputs!$B$11*12*(1+Inputs!$B$15)^0+H10*Inputs!$B$12</f>
        <v>39396.2670698949</v>
      </c>
    </row>
    <row r="76" customFormat="false" ht="15" hidden="true" customHeight="true" outlineLevel="0" collapsed="false">
      <c r="B76" s="34" t="n">
        <f aca="false">IF(2&gt;Inputs!$B$7,0,(-PMT(Inputs!$B$6/12,Inputs!$B$7*12,(Inputs!$B$4*(1-Inputs!$B$5)))*12))+B11*Inputs!$B$9+Inputs!$B$10*(1+Inputs!$B$15)^1+Inputs!$B$11*12*(1+Inputs!$B$15)^1+B11*Inputs!$B$12</f>
        <v>39462.2670698949</v>
      </c>
      <c r="C76" s="34" t="n">
        <f aca="false">IF(2&gt;Inputs!$B$7,0,(-PMT(Inputs!$B$6/12,Inputs!$B$7*12,(Inputs!$B$4*(1-Inputs!$B$5)))*12))+C11*Inputs!$B$9+Inputs!$B$10*(1+Inputs!$B$15)^1+Inputs!$B$11*12*(1+Inputs!$B$15)^1+C11*Inputs!$B$12</f>
        <v>39552.3780698949</v>
      </c>
      <c r="D76" s="34" t="n">
        <f aca="false">IF(2&gt;Inputs!$B$7,0,(-PMT(Inputs!$B$6/12,Inputs!$B$7*12,(Inputs!$B$4*(1-Inputs!$B$5)))*12))+D11*Inputs!$B$9+Inputs!$B$10*(1+Inputs!$B$15)^1+Inputs!$B$11*12*(1+Inputs!$B$15)^1+D11*Inputs!$B$12</f>
        <v>39642.4890698949</v>
      </c>
      <c r="E76" s="34" t="n">
        <f aca="false">IF(2&gt;Inputs!$B$7,0,(-PMT(Inputs!$B$6/12,Inputs!$B$7*12,(Inputs!$B$4*(1-Inputs!$B$5)))*12))+E11*Inputs!$B$9+Inputs!$B$10*(1+Inputs!$B$15)^1+Inputs!$B$11*12*(1+Inputs!$B$15)^1+E11*Inputs!$B$12</f>
        <v>39732.6000698949</v>
      </c>
      <c r="F76" s="34" t="n">
        <f aca="false">IF(2&gt;Inputs!$B$7,0,(-PMT(Inputs!$B$6/12,Inputs!$B$7*12,(Inputs!$B$4*(1-Inputs!$B$5)))*12))+F11*Inputs!$B$9+Inputs!$B$10*(1+Inputs!$B$15)^1+Inputs!$B$11*12*(1+Inputs!$B$15)^1+F11*Inputs!$B$12</f>
        <v>39822.7110698949</v>
      </c>
      <c r="G76" s="34" t="n">
        <f aca="false">IF(2&gt;Inputs!$B$7,0,(-PMT(Inputs!$B$6/12,Inputs!$B$7*12,(Inputs!$B$4*(1-Inputs!$B$5)))*12))+G11*Inputs!$B$9+Inputs!$B$10*(1+Inputs!$B$15)^1+Inputs!$B$11*12*(1+Inputs!$B$15)^1+G11*Inputs!$B$12</f>
        <v>39912.8220698949</v>
      </c>
      <c r="H76" s="34" t="n">
        <f aca="false">IF(2&gt;Inputs!$B$7,0,(-PMT(Inputs!$B$6/12,Inputs!$B$7*12,(Inputs!$B$4*(1-Inputs!$B$5)))*12))+H11*Inputs!$B$9+Inputs!$B$10*(1+Inputs!$B$15)^1+Inputs!$B$11*12*(1+Inputs!$B$15)^1+H11*Inputs!$B$12</f>
        <v>40002.9330698949</v>
      </c>
    </row>
    <row r="77" customFormat="false" ht="15" hidden="true" customHeight="true" outlineLevel="0" collapsed="false">
      <c r="B77" s="34" t="n">
        <f aca="false">IF(3&gt;Inputs!$B$7,0,(-PMT(Inputs!$B$6/12,Inputs!$B$7*12,(Inputs!$B$4*(1-Inputs!$B$5)))*12))+B12*Inputs!$B$9+Inputs!$B$10*(1+Inputs!$B$15)^2+Inputs!$B$11*12*(1+Inputs!$B$15)^2+B12*Inputs!$B$12</f>
        <v>39530.2470698949</v>
      </c>
      <c r="C77" s="34" t="n">
        <f aca="false">IF(3&gt;Inputs!$B$7,0,(-PMT(Inputs!$B$6/12,Inputs!$B$7*12,(Inputs!$B$4*(1-Inputs!$B$5)))*12))+C12*Inputs!$B$9+Inputs!$B$10*(1+Inputs!$B$15)^2+Inputs!$B$11*12*(1+Inputs!$B$15)^2+C12*Inputs!$B$12</f>
        <v>39711.3701798949</v>
      </c>
      <c r="D77" s="34" t="n">
        <f aca="false">IF(3&gt;Inputs!$B$7,0,(-PMT(Inputs!$B$6/12,Inputs!$B$7*12,(Inputs!$B$4*(1-Inputs!$B$5)))*12))+D12*Inputs!$B$9+Inputs!$B$10*(1+Inputs!$B$15)^2+Inputs!$B$11*12*(1+Inputs!$B$15)^2+D12*Inputs!$B$12</f>
        <v>39894.2955098949</v>
      </c>
      <c r="E77" s="34" t="n">
        <f aca="false">IF(3&gt;Inputs!$B$7,0,(-PMT(Inputs!$B$6/12,Inputs!$B$7*12,(Inputs!$B$4*(1-Inputs!$B$5)))*12))+E12*Inputs!$B$9+Inputs!$B$10*(1+Inputs!$B$15)^2+Inputs!$B$11*12*(1+Inputs!$B$15)^2+E12*Inputs!$B$12</f>
        <v>40079.0230598949</v>
      </c>
      <c r="F77" s="34" t="n">
        <f aca="false">IF(3&gt;Inputs!$B$7,0,(-PMT(Inputs!$B$6/12,Inputs!$B$7*12,(Inputs!$B$4*(1-Inputs!$B$5)))*12))+F12*Inputs!$B$9+Inputs!$B$10*(1+Inputs!$B$15)^2+Inputs!$B$11*12*(1+Inputs!$B$15)^2+F12*Inputs!$B$12</f>
        <v>40265.5528298949</v>
      </c>
      <c r="G77" s="34" t="n">
        <f aca="false">IF(3&gt;Inputs!$B$7,0,(-PMT(Inputs!$B$6/12,Inputs!$B$7*12,(Inputs!$B$4*(1-Inputs!$B$5)))*12))+G12*Inputs!$B$9+Inputs!$B$10*(1+Inputs!$B$15)^2+Inputs!$B$11*12*(1+Inputs!$B$15)^2+G12*Inputs!$B$12</f>
        <v>40453.8848198949</v>
      </c>
      <c r="H77" s="34" t="n">
        <f aca="false">IF(3&gt;Inputs!$B$7,0,(-PMT(Inputs!$B$6/12,Inputs!$B$7*12,(Inputs!$B$4*(1-Inputs!$B$5)))*12))+H12*Inputs!$B$9+Inputs!$B$10*(1+Inputs!$B$15)^2+Inputs!$B$11*12*(1+Inputs!$B$15)^2+H12*Inputs!$B$12</f>
        <v>40644.0190298949</v>
      </c>
    </row>
    <row r="78" customFormat="false" ht="15" hidden="true" customHeight="true" outlineLevel="0" collapsed="false">
      <c r="B78" s="34" t="n">
        <f aca="false">IF(4&gt;Inputs!$B$7,0,(-PMT(Inputs!$B$6/12,Inputs!$B$7*12,(Inputs!$B$4*(1-Inputs!$B$5)))*12))+B13*Inputs!$B$9+Inputs!$B$10*(1+Inputs!$B$15)^3+Inputs!$B$11*12*(1+Inputs!$B$15)^3+B13*Inputs!$B$12</f>
        <v>39600.2664698949</v>
      </c>
      <c r="C78" s="34" t="n">
        <f aca="false">IF(4&gt;Inputs!$B$7,0,(-PMT(Inputs!$B$6/12,Inputs!$B$7*12,(Inputs!$B$4*(1-Inputs!$B$5)))*12))+C13*Inputs!$B$9+Inputs!$B$10*(1+Inputs!$B$15)^3+Inputs!$B$11*12*(1+Inputs!$B$15)^3+C13*Inputs!$B$12</f>
        <v>39873.3118109949</v>
      </c>
      <c r="D78" s="34" t="n">
        <f aca="false">IF(4&gt;Inputs!$B$7,0,(-PMT(Inputs!$B$6/12,Inputs!$B$7*12,(Inputs!$B$4*(1-Inputs!$B$5)))*12))+D13*Inputs!$B$9+Inputs!$B$10*(1+Inputs!$B$15)^3+Inputs!$B$11*12*(1+Inputs!$B$15)^3+D13*Inputs!$B$12</f>
        <v>40151.8178786949</v>
      </c>
      <c r="E78" s="34" t="n">
        <f aca="false">IF(4&gt;Inputs!$B$7,0,(-PMT(Inputs!$B$6/12,Inputs!$B$7*12,(Inputs!$B$4*(1-Inputs!$B$5)))*12))+E13*Inputs!$B$9+Inputs!$B$10*(1+Inputs!$B$15)^3+Inputs!$B$11*12*(1+Inputs!$B$15)^3+E13*Inputs!$B$12</f>
        <v>40435.8387395949</v>
      </c>
      <c r="F78" s="34" t="n">
        <f aca="false">IF(4&gt;Inputs!$B$7,0,(-PMT(Inputs!$B$6/12,Inputs!$B$7*12,(Inputs!$B$4*(1-Inputs!$B$5)))*12))+F13*Inputs!$B$9+Inputs!$B$10*(1+Inputs!$B$15)^3+Inputs!$B$11*12*(1+Inputs!$B$15)^3+F13*Inputs!$B$12</f>
        <v>40725.4284602949</v>
      </c>
      <c r="G78" s="34" t="n">
        <f aca="false">IF(4&gt;Inputs!$B$7,0,(-PMT(Inputs!$B$6/12,Inputs!$B$7*12,(Inputs!$B$4*(1-Inputs!$B$5)))*12))+G13*Inputs!$B$9+Inputs!$B$10*(1+Inputs!$B$15)^3+Inputs!$B$11*12*(1+Inputs!$B$15)^3+G13*Inputs!$B$12</f>
        <v>41020.6411073949</v>
      </c>
      <c r="H78" s="34" t="n">
        <f aca="false">IF(4&gt;Inputs!$B$7,0,(-PMT(Inputs!$B$6/12,Inputs!$B$7*12,(Inputs!$B$4*(1-Inputs!$B$5)))*12))+H13*Inputs!$B$9+Inputs!$B$10*(1+Inputs!$B$15)^3+Inputs!$B$11*12*(1+Inputs!$B$15)^3+H13*Inputs!$B$12</f>
        <v>41321.5307474949</v>
      </c>
    </row>
    <row r="79" customFormat="false" ht="15" hidden="true" customHeight="true" outlineLevel="0" collapsed="false">
      <c r="B79" s="34" t="n">
        <f aca="false">IF(5&gt;Inputs!$B$7,0,(-PMT(Inputs!$B$6/12,Inputs!$B$7*12,(Inputs!$B$4*(1-Inputs!$B$5)))*12))+B14*Inputs!$B$9+Inputs!$B$10*(1+Inputs!$B$15)^4+Inputs!$B$11*12*(1+Inputs!$B$15)^4+B14*Inputs!$B$12</f>
        <v>39672.3864518949</v>
      </c>
      <c r="C79" s="34" t="n">
        <f aca="false">IF(5&gt;Inputs!$B$7,0,(-PMT(Inputs!$B$6/12,Inputs!$B$7*12,(Inputs!$B$4*(1-Inputs!$B$5)))*12))+C14*Inputs!$B$9+Inputs!$B$10*(1+Inputs!$B$15)^4+Inputs!$B$11*12*(1+Inputs!$B$15)^4+C14*Inputs!$B$12</f>
        <v>40038.2732464059</v>
      </c>
      <c r="D79" s="34" t="n">
        <f aca="false">IF(5&gt;Inputs!$B$7,0,(-PMT(Inputs!$B$6/12,Inputs!$B$7*12,(Inputs!$B$4*(1-Inputs!$B$5)))*12))+D14*Inputs!$B$9+Inputs!$B$10*(1+Inputs!$B$15)^4+Inputs!$B$11*12*(1+Inputs!$B$15)^4+D14*Inputs!$B$12</f>
        <v>40415.1908888709</v>
      </c>
      <c r="E79" s="34" t="n">
        <f aca="false">IF(5&gt;Inputs!$B$7,0,(-PMT(Inputs!$B$6/12,Inputs!$B$7*12,(Inputs!$B$4*(1-Inputs!$B$5)))*12))+E14*Inputs!$B$9+Inputs!$B$10*(1+Inputs!$B$15)^4+Inputs!$B$11*12*(1+Inputs!$B$15)^4+E14*Inputs!$B$12</f>
        <v>40803.3588896859</v>
      </c>
      <c r="F79" s="34" t="n">
        <f aca="false">IF(5&gt;Inputs!$B$7,0,(-PMT(Inputs!$B$6/12,Inputs!$B$7*12,(Inputs!$B$4*(1-Inputs!$B$5)))*12))+F14*Inputs!$B$9+Inputs!$B$10*(1+Inputs!$B$15)^4+Inputs!$B$11*12*(1+Inputs!$B$15)^4+F14*Inputs!$B$12</f>
        <v>41202.9989219109</v>
      </c>
      <c r="G79" s="34" t="n">
        <f aca="false">IF(5&gt;Inputs!$B$7,0,(-PMT(Inputs!$B$6/12,Inputs!$B$7*12,(Inputs!$B$4*(1-Inputs!$B$5)))*12))+G14*Inputs!$B$9+Inputs!$B$10*(1+Inputs!$B$15)^4+Inputs!$B$11*12*(1+Inputs!$B$15)^4+G14*Inputs!$B$12</f>
        <v>41614.3348212699</v>
      </c>
      <c r="H79" s="34" t="n">
        <f aca="false">IF(5&gt;Inputs!$B$7,0,(-PMT(Inputs!$B$6/12,Inputs!$B$7*12,(Inputs!$B$4*(1-Inputs!$B$5)))*12))+H14*Inputs!$B$9+Inputs!$B$10*(1+Inputs!$B$15)^4+Inputs!$B$11*12*(1+Inputs!$B$15)^4+H14*Inputs!$B$12</f>
        <v>42037.5925861509</v>
      </c>
    </row>
    <row r="80" customFormat="false" ht="15" hidden="true" customHeight="true" outlineLevel="0" collapsed="false">
      <c r="B80" s="34" t="n">
        <f aca="false">IF(6&gt;Inputs!$B$7,0,(-PMT(Inputs!$B$6/12,Inputs!$B$7*12,(Inputs!$B$4*(1-Inputs!$B$5)))*12))+B15*Inputs!$B$9+Inputs!$B$10*(1+Inputs!$B$15)^5+Inputs!$B$11*12*(1+Inputs!$B$15)^5+B15*Inputs!$B$12</f>
        <v>39746.6700333549</v>
      </c>
      <c r="C80" s="34" t="n">
        <f aca="false">IF(6&gt;Inputs!$B$7,0,(-PMT(Inputs!$B$6/12,Inputs!$B$7*12,(Inputs!$B$4*(1-Inputs!$B$5)))*12))+C15*Inputs!$B$9+Inputs!$B$10*(1+Inputs!$B$15)^5+Inputs!$B$11*12*(1+Inputs!$B$15)^5+C15*Inputs!$B$12</f>
        <v>40206.326695811</v>
      </c>
      <c r="D80" s="34" t="n">
        <f aca="false">IF(6&gt;Inputs!$B$7,0,(-PMT(Inputs!$B$6/12,Inputs!$B$7*12,(Inputs!$B$4*(1-Inputs!$B$5)))*12))+D15*Inputs!$B$9+Inputs!$B$10*(1+Inputs!$B$15)^5+Inputs!$B$11*12*(1+Inputs!$B$15)^5+D15*Inputs!$B$12</f>
        <v>40684.5525590704</v>
      </c>
      <c r="E80" s="34" t="n">
        <f aca="false">IF(6&gt;Inputs!$B$7,0,(-PMT(Inputs!$B$6/12,Inputs!$B$7*12,(Inputs!$B$4*(1-Inputs!$B$5)))*12))+E15*Inputs!$B$9+Inputs!$B$10*(1+Inputs!$B$15)^5+Inputs!$B$11*12*(1+Inputs!$B$15)^5+E15*Inputs!$B$12</f>
        <v>41181.9046442796</v>
      </c>
      <c r="F80" s="34" t="n">
        <f aca="false">IF(6&gt;Inputs!$B$7,0,(-PMT(Inputs!$B$6/12,Inputs!$B$7*12,(Inputs!$B$4*(1-Inputs!$B$5)))*12))+F15*Inputs!$B$9+Inputs!$B$10*(1+Inputs!$B$15)^5+Inputs!$B$11*12*(1+Inputs!$B$15)^5+F15*Inputs!$B$12</f>
        <v>41698.9510021716</v>
      </c>
      <c r="G80" s="34" t="n">
        <f aca="false">IF(6&gt;Inputs!$B$7,0,(-PMT(Inputs!$B$6/12,Inputs!$B$7*12,(Inputs!$B$4*(1-Inputs!$B$5)))*12))+G15*Inputs!$B$9+Inputs!$B$10*(1+Inputs!$B$15)^5+Inputs!$B$11*12*(1+Inputs!$B$15)^5+G15*Inputs!$B$12</f>
        <v>42236.2708211987</v>
      </c>
      <c r="H80" s="34" t="n">
        <f aca="false">IF(6&gt;Inputs!$B$7,0,(-PMT(Inputs!$B$6/12,Inputs!$B$7*12,(Inputs!$B$4*(1-Inputs!$B$5)))*12))+H15*Inputs!$B$9+Inputs!$B$10*(1+Inputs!$B$15)^5+Inputs!$B$11*12*(1+Inputs!$B$15)^5+H15*Inputs!$B$12</f>
        <v>42794.4545356663</v>
      </c>
    </row>
    <row r="81" customFormat="false" ht="15" hidden="true" customHeight="true" outlineLevel="0" collapsed="false">
      <c r="B81" s="34" t="n">
        <f aca="false">IF(7&gt;Inputs!$B$7,0,(-PMT(Inputs!$B$6/12,Inputs!$B$7*12,(Inputs!$B$4*(1-Inputs!$B$5)))*12))+B16*Inputs!$B$9+Inputs!$B$10*(1+Inputs!$B$15)^6+Inputs!$B$11*12*(1+Inputs!$B$15)^6+B16*Inputs!$B$12</f>
        <v>39823.1821222587</v>
      </c>
      <c r="C81" s="34" t="n">
        <f aca="false">IF(7&gt;Inputs!$B$7,0,(-PMT(Inputs!$B$6/12,Inputs!$B$7*12,(Inputs!$B$4*(1-Inputs!$B$5)))*12))+C16*Inputs!$B$9+Inputs!$B$10*(1+Inputs!$B$15)^6+Inputs!$B$11*12*(1+Inputs!$B$15)^6+C16*Inputs!$B$12</f>
        <v>40377.5463513394</v>
      </c>
      <c r="D81" s="34" t="n">
        <f aca="false">IF(7&gt;Inputs!$B$7,0,(-PMT(Inputs!$B$6/12,Inputs!$B$7*12,(Inputs!$B$4*(1-Inputs!$B$5)))*12))+D16*Inputs!$B$9+Inputs!$B$10*(1+Inputs!$B$15)^6+Inputs!$B$11*12*(1+Inputs!$B$15)^6+D16*Inputs!$B$12</f>
        <v>40960.0442984885</v>
      </c>
      <c r="E81" s="34" t="n">
        <f aca="false">IF(7&gt;Inputs!$B$7,0,(-PMT(Inputs!$B$6/12,Inputs!$B$7*12,(Inputs!$B$4*(1-Inputs!$B$5)))*12))+E16*Inputs!$B$9+Inputs!$B$10*(1+Inputs!$B$15)^6+Inputs!$B$11*12*(1+Inputs!$B$15)^6+E16*Inputs!$B$12</f>
        <v>41571.8067715112</v>
      </c>
      <c r="F81" s="34" t="n">
        <f aca="false">IF(7&gt;Inputs!$B$7,0,(-PMT(Inputs!$B$6/12,Inputs!$B$7*12,(Inputs!$B$4*(1-Inputs!$B$5)))*12))+F16*Inputs!$B$9+Inputs!$B$10*(1+Inputs!$B$15)^6+Inputs!$B$11*12*(1+Inputs!$B$15)^6+F16*Inputs!$B$12</f>
        <v>42213.998329828</v>
      </c>
      <c r="G81" s="34" t="n">
        <f aca="false">IF(7&gt;Inputs!$B$7,0,(-PMT(Inputs!$B$6/12,Inputs!$B$7*12,(Inputs!$B$4*(1-Inputs!$B$5)))*12))+G16*Inputs!$B$9+Inputs!$B$10*(1+Inputs!$B$15)^6+Inputs!$B$11*12*(1+Inputs!$B$15)^6+G16*Inputs!$B$12</f>
        <v>42887.8179494946</v>
      </c>
      <c r="H81" s="34" t="n">
        <f aca="false">IF(7&gt;Inputs!$B$7,0,(-PMT(Inputs!$B$6/12,Inputs!$B$7*12,(Inputs!$B$4*(1-Inputs!$B$5)))*12))+H16*Inputs!$B$9+Inputs!$B$10*(1+Inputs!$B$15)^6+Inputs!$B$11*12*(1+Inputs!$B$15)^6+H16*Inputs!$B$12</f>
        <v>43594.4996947088</v>
      </c>
    </row>
    <row r="82" customFormat="false" ht="15" hidden="true" customHeight="true" outlineLevel="0" collapsed="false">
      <c r="B82" s="34" t="n">
        <f aca="false">IF(8&gt;Inputs!$B$7,0,(-PMT(Inputs!$B$6/12,Inputs!$B$7*12,(Inputs!$B$4*(1-Inputs!$B$5)))*12))+B17*Inputs!$B$9+Inputs!$B$10*(1+Inputs!$B$15)^7+Inputs!$B$11*12*(1+Inputs!$B$15)^7+B17*Inputs!$B$12</f>
        <v>39901.9895738296</v>
      </c>
      <c r="C82" s="34" t="n">
        <f aca="false">IF(8&gt;Inputs!$B$7,0,(-PMT(Inputs!$B$6/12,Inputs!$B$7*12,(Inputs!$B$4*(1-Inputs!$B$5)))*12))+C17*Inputs!$B$9+Inputs!$B$10*(1+Inputs!$B$15)^7+Inputs!$B$11*12*(1+Inputs!$B$15)^7+C17*Inputs!$B$12</f>
        <v>40552.0084452011</v>
      </c>
      <c r="D82" s="34" t="n">
        <f aca="false">IF(8&gt;Inputs!$B$7,0,(-PMT(Inputs!$B$6/12,Inputs!$B$7*12,(Inputs!$B$4*(1-Inputs!$B$5)))*12))+D17*Inputs!$B$9+Inputs!$B$10*(1+Inputs!$B$15)^7+Inputs!$B$11*12*(1+Inputs!$B$15)^7+D17*Inputs!$B$12</f>
        <v>41241.8109935841</v>
      </c>
      <c r="E82" s="34" t="n">
        <f aca="false">IF(8&gt;Inputs!$B$7,0,(-PMT(Inputs!$B$6/12,Inputs!$B$7*12,(Inputs!$B$4*(1-Inputs!$B$5)))*12))+E17*Inputs!$B$9+Inputs!$B$10*(1+Inputs!$B$15)^7+Inputs!$B$11*12*(1+Inputs!$B$15)^7+E17*Inputs!$B$12</f>
        <v>41973.4059625597</v>
      </c>
      <c r="F82" s="34" t="n">
        <f aca="false">IF(8&gt;Inputs!$B$7,0,(-PMT(Inputs!$B$6/12,Inputs!$B$7*12,(Inputs!$B$4*(1-Inputs!$B$5)))*12))+F17*Inputs!$B$9+Inputs!$B$10*(1+Inputs!$B$15)^7+Inputs!$B$11*12*(1+Inputs!$B$15)^7+F17*Inputs!$B$12</f>
        <v>42748.8824297017</v>
      </c>
      <c r="G82" s="34" t="n">
        <f aca="false">IF(8&gt;Inputs!$B$7,0,(-PMT(Inputs!$B$6/12,Inputs!$B$7*12,(Inputs!$B$4*(1-Inputs!$B$5)))*12))+G17*Inputs!$B$9+Inputs!$B$10*(1+Inputs!$B$15)^7+Inputs!$B$11*12*(1+Inputs!$B$15)^7+G17*Inputs!$B$12</f>
        <v>43570.4121924274</v>
      </c>
      <c r="H82" s="34" t="n">
        <f aca="false">IF(8&gt;Inputs!$B$7,0,(-PMT(Inputs!$B$6/12,Inputs!$B$7*12,(Inputs!$B$4*(1-Inputs!$B$5)))*12))+H17*Inputs!$B$9+Inputs!$B$10*(1+Inputs!$B$15)^7+Inputs!$B$11*12*(1+Inputs!$B$15)^7+H17*Inputs!$B$12</f>
        <v>44440.2522006267</v>
      </c>
    </row>
    <row r="83" customFormat="false" ht="15" hidden="true" customHeight="true" outlineLevel="0" collapsed="false">
      <c r="B83" s="34" t="n">
        <f aca="false">IF(9&gt;Inputs!$B$7,0,(-PMT(Inputs!$B$6/12,Inputs!$B$7*12,(Inputs!$B$4*(1-Inputs!$B$5)))*12))+B18*Inputs!$B$9+Inputs!$B$10*(1+Inputs!$B$15)^8+Inputs!$B$11*12*(1+Inputs!$B$15)^8+B18*Inputs!$B$12</f>
        <v>39983.1612489477</v>
      </c>
      <c r="C83" s="34" t="n">
        <f aca="false">IF(9&gt;Inputs!$B$7,0,(-PMT(Inputs!$B$6/12,Inputs!$B$7*12,(Inputs!$B$4*(1-Inputs!$B$5)))*12))+C18*Inputs!$B$9+Inputs!$B$10*(1+Inputs!$B$15)^8+Inputs!$B$11*12*(1+Inputs!$B$15)^8+C18*Inputs!$B$12</f>
        <v>40729.7913090329</v>
      </c>
      <c r="D83" s="34" t="n">
        <f aca="false">IF(9&gt;Inputs!$B$7,0,(-PMT(Inputs!$B$6/12,Inputs!$B$7*12,(Inputs!$B$4*(1-Inputs!$B$5)))*12))+D18*Inputs!$B$9+Inputs!$B$10*(1+Inputs!$B$15)^8+Inputs!$B$11*12*(1+Inputs!$B$15)^8+D18*Inputs!$B$12</f>
        <v>41530.0010970972</v>
      </c>
      <c r="E83" s="34" t="n">
        <f aca="false">IF(9&gt;Inputs!$B$7,0,(-PMT(Inputs!$B$6/12,Inputs!$B$7*12,(Inputs!$B$4*(1-Inputs!$B$5)))*12))+E18*Inputs!$B$9+Inputs!$B$10*(1+Inputs!$B$15)^8+Inputs!$B$11*12*(1+Inputs!$B$15)^8+E18*Inputs!$B$12</f>
        <v>42387.0531293396</v>
      </c>
      <c r="F83" s="34" t="n">
        <f aca="false">IF(9&gt;Inputs!$B$7,0,(-PMT(Inputs!$B$6/12,Inputs!$B$7*12,(Inputs!$B$4*(1-Inputs!$B$5)))*12))+F18*Inputs!$B$9+Inputs!$B$10*(1+Inputs!$B$15)^8+Inputs!$B$11*12*(1+Inputs!$B$15)^8+F18*Inputs!$B$12</f>
        <v>43304.3738190546</v>
      </c>
      <c r="G83" s="34" t="n">
        <f aca="false">IF(9&gt;Inputs!$B$7,0,(-PMT(Inputs!$B$6/12,Inputs!$B$7*12,(Inputs!$B$4*(1-Inputs!$B$5)))*12))+G18*Inputs!$B$9+Inputs!$B$10*(1+Inputs!$B$15)^8+Inputs!$B$11*12*(1+Inputs!$B$15)^8+G18*Inputs!$B$12</f>
        <v>44285.5599984753</v>
      </c>
      <c r="H83" s="34" t="n">
        <f aca="false">IF(9&gt;Inputs!$B$7,0,(-PMT(Inputs!$B$6/12,Inputs!$B$7*12,(Inputs!$B$4*(1-Inputs!$B$5)))*12))+H18*Inputs!$B$9+Inputs!$B$10*(1+Inputs!$B$15)^8+Inputs!$B$11*12*(1+Inputs!$B$15)^8+H18*Inputs!$B$12</f>
        <v>45334.3856333525</v>
      </c>
    </row>
    <row r="84" customFormat="false" ht="15" hidden="true" customHeight="true" outlineLevel="0" collapsed="false">
      <c r="B84" s="34" t="n">
        <f aca="false">IF(10&gt;Inputs!$B$7,0,(-PMT(Inputs!$B$6/12,Inputs!$B$7*12,(Inputs!$B$4*(1-Inputs!$B$5)))*12))+B19*Inputs!$B$9+Inputs!$B$10*(1+Inputs!$B$15)^9+Inputs!$B$11*12*(1+Inputs!$B$15)^9+B19*Inputs!$B$12</f>
        <v>40066.7680743192</v>
      </c>
      <c r="C84" s="34" t="n">
        <f aca="false">IF(10&gt;Inputs!$B$7,0,(-PMT(Inputs!$B$6/12,Inputs!$B$7*12,(Inputs!$B$4*(1-Inputs!$B$5)))*12))+C19*Inputs!$B$9+Inputs!$B$10*(1+Inputs!$B$15)^9+Inputs!$B$11*12*(1+Inputs!$B$15)^9+C19*Inputs!$B$12</f>
        <v>40910.9754350053</v>
      </c>
      <c r="D84" s="34" t="n">
        <f aca="false">IF(10&gt;Inputs!$B$7,0,(-PMT(Inputs!$B$6/12,Inputs!$B$7*12,(Inputs!$B$4*(1-Inputs!$B$5)))*12))+D19*Inputs!$B$9+Inputs!$B$10*(1+Inputs!$B$15)^9+Inputs!$B$11*12*(1+Inputs!$B$15)^9+D19*Inputs!$B$12</f>
        <v>41824.7667194318</v>
      </c>
      <c r="E84" s="34" t="n">
        <f aca="false">IF(10&gt;Inputs!$B$7,0,(-PMT(Inputs!$B$6/12,Inputs!$B$7*12,(Inputs!$B$4*(1-Inputs!$B$5)))*12))+E19*Inputs!$B$9+Inputs!$B$10*(1+Inputs!$B$15)^9+Inputs!$B$11*12*(1+Inputs!$B$15)^9+E19*Inputs!$B$12</f>
        <v>42813.109711123</v>
      </c>
      <c r="F84" s="34" t="n">
        <f aca="false">IF(10&gt;Inputs!$B$7,0,(-PMT(Inputs!$B$6/12,Inputs!$B$7*12,(Inputs!$B$4*(1-Inputs!$B$5)))*12))+F19*Inputs!$B$9+Inputs!$B$10*(1+Inputs!$B$15)^9+Inputs!$B$11*12*(1+Inputs!$B$15)^9+F19*Inputs!$B$12</f>
        <v>43881.2731472305</v>
      </c>
      <c r="G84" s="34" t="n">
        <f aca="false">IF(10&gt;Inputs!$B$7,0,(-PMT(Inputs!$B$6/12,Inputs!$B$7*12,(Inputs!$B$4*(1-Inputs!$B$5)))*12))+G19*Inputs!$B$9+Inputs!$B$10*(1+Inputs!$B$15)^9+Inputs!$B$11*12*(1+Inputs!$B$15)^9+G19*Inputs!$B$12</f>
        <v>45034.8417613233</v>
      </c>
      <c r="H84" s="34" t="n">
        <f aca="false">IF(10&gt;Inputs!$B$7,0,(-PMT(Inputs!$B$6/12,Inputs!$B$7*12,(Inputs!$B$4*(1-Inputs!$B$5)))*12))+H19*Inputs!$B$9+Inputs!$B$10*(1+Inputs!$B$15)^9+Inputs!$B$11*12*(1+Inputs!$B$15)^9+H19*Inputs!$B$12</f>
        <v>46279.7319217884</v>
      </c>
    </row>
    <row r="85" customFormat="false" ht="15" hidden="true" customHeight="true" outlineLevel="0" collapsed="false">
      <c r="B85" s="34" t="n">
        <f aca="false">IF(11&gt;Inputs!$B$7,0,(-PMT(Inputs!$B$6/12,Inputs!$B$7*12,(Inputs!$B$4*(1-Inputs!$B$5)))*12))+B20*Inputs!$B$9+Inputs!$B$10*(1+Inputs!$B$15)^10+Inputs!$B$11*12*(1+Inputs!$B$15)^10+B20*Inputs!$B$12</f>
        <v>40152.883104452</v>
      </c>
      <c r="C85" s="34" t="n">
        <f aca="false">IF(11&gt;Inputs!$B$7,0,(-PMT(Inputs!$B$6/12,Inputs!$B$7*12,(Inputs!$B$4*(1-Inputs!$B$5)))*12))+C20*Inputs!$B$9+Inputs!$B$10*(1+Inputs!$B$15)^10+Inputs!$B$11*12*(1+Inputs!$B$15)^10+C20*Inputs!$B$12</f>
        <v>41095.6435387449</v>
      </c>
      <c r="D85" s="34" t="n">
        <f aca="false">IF(11&gt;Inputs!$B$7,0,(-PMT(Inputs!$B$6/12,Inputs!$B$7*12,(Inputs!$B$4*(1-Inputs!$B$5)))*12))+D20*Inputs!$B$9+Inputs!$B$10*(1+Inputs!$B$15)^10+Inputs!$B$11*12*(1+Inputs!$B$15)^10+D20*Inputs!$B$12</f>
        <v>42126.2637224667</v>
      </c>
      <c r="E85" s="34" t="n">
        <f aca="false">IF(11&gt;Inputs!$B$7,0,(-PMT(Inputs!$B$6/12,Inputs!$B$7*12,(Inputs!$B$4*(1-Inputs!$B$5)))*12))+E20*Inputs!$B$9+Inputs!$B$10*(1+Inputs!$B$15)^10+Inputs!$B$11*12*(1+Inputs!$B$15)^10+E20*Inputs!$B$12</f>
        <v>43251.9479903598</v>
      </c>
      <c r="F85" s="34" t="n">
        <f aca="false">IF(11&gt;Inputs!$B$7,0,(-PMT(Inputs!$B$6/12,Inputs!$B$7*12,(Inputs!$B$4*(1-Inputs!$B$5)))*12))+F20*Inputs!$B$9+Inputs!$B$10*(1+Inputs!$B$15)^10+Inputs!$B$11*12*(1+Inputs!$B$15)^10+F20*Inputs!$B$12</f>
        <v>44480.4123802797</v>
      </c>
      <c r="G85" s="34" t="n">
        <f aca="false">IF(11&gt;Inputs!$B$7,0,(-PMT(Inputs!$B$6/12,Inputs!$B$7*12,(Inputs!$B$4*(1-Inputs!$B$5)))*12))+G20*Inputs!$B$9+Inputs!$B$10*(1+Inputs!$B$15)^10+Inputs!$B$11*12*(1+Inputs!$B$15)^10+G20*Inputs!$B$12</f>
        <v>45819.9154758062</v>
      </c>
      <c r="H85" s="34" t="n">
        <f aca="false">IF(11&gt;Inputs!$B$7,0,(-PMT(Inputs!$B$6/12,Inputs!$B$7*12,(Inputs!$B$4*(1-Inputs!$B$5)))*12))+H20*Inputs!$B$9+Inputs!$B$10*(1+Inputs!$B$15)^10+Inputs!$B$11*12*(1+Inputs!$B$15)^10+H20*Inputs!$B$12</f>
        <v>47279.2907827693</v>
      </c>
    </row>
    <row r="86" customFormat="false" ht="15" hidden="true" customHeight="true" outlineLevel="0" collapsed="false">
      <c r="B86" s="34" t="n">
        <f aca="false">IF(12&gt;Inputs!$B$7,0,(-PMT(Inputs!$B$6/12,Inputs!$B$7*12,(Inputs!$B$4*(1-Inputs!$B$5)))*12))+B21*Inputs!$B$9+Inputs!$B$10*(1+Inputs!$B$15)^11+Inputs!$B$11*12*(1+Inputs!$B$15)^11+B21*Inputs!$B$12</f>
        <v>40241.5815854887</v>
      </c>
      <c r="C86" s="34" t="n">
        <f aca="false">IF(12&gt;Inputs!$B$7,0,(-PMT(Inputs!$B$6/12,Inputs!$B$7*12,(Inputs!$B$4*(1-Inputs!$B$5)))*12))+C21*Inputs!$B$9+Inputs!$B$10*(1+Inputs!$B$15)^11+Inputs!$B$11*12*(1+Inputs!$B$15)^11+C21*Inputs!$B$12</f>
        <v>41283.8806241245</v>
      </c>
      <c r="D86" s="34" t="n">
        <f aca="false">IF(12&gt;Inputs!$B$7,0,(-PMT(Inputs!$B$6/12,Inputs!$B$7*12,(Inputs!$B$4*(1-Inputs!$B$5)))*12))+D21*Inputs!$B$9+Inputs!$B$10*(1+Inputs!$B$15)^11+Inputs!$B$11*12*(1+Inputs!$B$15)^11+D21*Inputs!$B$12</f>
        <v>42434.6518158637</v>
      </c>
      <c r="E86" s="34" t="n">
        <f aca="false">IF(12&gt;Inputs!$B$7,0,(-PMT(Inputs!$B$6/12,Inputs!$B$7*12,(Inputs!$B$4*(1-Inputs!$B$5)))*12))+E21*Inputs!$B$9+Inputs!$B$10*(1+Inputs!$B$15)^11+Inputs!$B$11*12*(1+Inputs!$B$15)^11+E21*Inputs!$B$12</f>
        <v>43703.9514179737</v>
      </c>
      <c r="F86" s="34" t="n">
        <f aca="false">IF(12&gt;Inputs!$B$7,0,(-PMT(Inputs!$B$6/12,Inputs!$B$7*12,(Inputs!$B$4*(1-Inputs!$B$5)))*12))+F21*Inputs!$B$9+Inputs!$B$10*(1+Inputs!$B$15)^11+Inputs!$B$11*12*(1+Inputs!$B$15)^11+F21*Inputs!$B$12</f>
        <v>45102.6560323495</v>
      </c>
      <c r="G86" s="34" t="n">
        <f aca="false">IF(12&gt;Inputs!$B$7,0,(-PMT(Inputs!$B$6/12,Inputs!$B$7*12,(Inputs!$B$4*(1-Inputs!$B$5)))*12))+G21*Inputs!$B$9+Inputs!$B$10*(1+Inputs!$B$15)^11+Inputs!$B$11*12*(1+Inputs!$B$15)^11+G21*Inputs!$B$12</f>
        <v>46642.5205754106</v>
      </c>
      <c r="H86" s="34" t="n">
        <f aca="false">IF(12&gt;Inputs!$B$7,0,(-PMT(Inputs!$B$6/12,Inputs!$B$7*12,(Inputs!$B$4*(1-Inputs!$B$5)))*12))+H21*Inputs!$B$9+Inputs!$B$10*(1+Inputs!$B$15)^11+Inputs!$B$11*12*(1+Inputs!$B$15)^11+H21*Inputs!$B$12</f>
        <v>48336.239724505</v>
      </c>
    </row>
    <row r="87" customFormat="false" ht="15" hidden="true" customHeight="true" outlineLevel="0" collapsed="false">
      <c r="B87" s="34" t="n">
        <f aca="false">IF(13&gt;Inputs!$B$7,0,(-PMT(Inputs!$B$6/12,Inputs!$B$7*12,(Inputs!$B$4*(1-Inputs!$B$5)))*12))+B22*Inputs!$B$9+Inputs!$B$10*(1+Inputs!$B$15)^12+Inputs!$B$11*12*(1+Inputs!$B$15)^12+B22*Inputs!$B$12</f>
        <v>40332.9410209565</v>
      </c>
      <c r="C87" s="34" t="n">
        <f aca="false">IF(13&gt;Inputs!$B$7,0,(-PMT(Inputs!$B$6/12,Inputs!$B$7*12,(Inputs!$B$4*(1-Inputs!$B$5)))*12))+C22*Inputs!$B$9+Inputs!$B$10*(1+Inputs!$B$15)^12+Inputs!$B$11*12*(1+Inputs!$B$15)^12+C22*Inputs!$B$12</f>
        <v>41475.7740499787</v>
      </c>
      <c r="D87" s="34" t="n">
        <f aca="false">IF(13&gt;Inputs!$B$7,0,(-PMT(Inputs!$B$6/12,Inputs!$B$7*12,(Inputs!$B$4*(1-Inputs!$B$5)))*12))+D22*Inputs!$B$9+Inputs!$B$10*(1+Inputs!$B$15)^12+Inputs!$B$11*12*(1+Inputs!$B$15)^12+D22*Inputs!$B$12</f>
        <v>42750.0946559391</v>
      </c>
      <c r="E87" s="34" t="n">
        <f aca="false">IF(13&gt;Inputs!$B$7,0,(-PMT(Inputs!$B$6/12,Inputs!$B$7*12,(Inputs!$B$4*(1-Inputs!$B$5)))*12))+E22*Inputs!$B$9+Inputs!$B$10*(1+Inputs!$B$15)^12+Inputs!$B$11*12*(1+Inputs!$B$15)^12+E22*Inputs!$B$12</f>
        <v>44169.5149484161</v>
      </c>
      <c r="F87" s="34" t="n">
        <f aca="false">IF(13&gt;Inputs!$B$7,0,(-PMT(Inputs!$B$6/12,Inputs!$B$7*12,(Inputs!$B$4*(1-Inputs!$B$5)))*12))+F22*Inputs!$B$9+Inputs!$B$10*(1+Inputs!$B$15)^12+Inputs!$B$11*12*(1+Inputs!$B$15)^12+F22*Inputs!$B$12</f>
        <v>45748.9024456917</v>
      </c>
      <c r="G87" s="34" t="n">
        <f aca="false">IF(13&gt;Inputs!$B$7,0,(-PMT(Inputs!$B$6/12,Inputs!$B$7*12,(Inputs!$B$4*(1-Inputs!$B$5)))*12))+G22*Inputs!$B$9+Inputs!$B$10*(1+Inputs!$B$15)^12+Inputs!$B$11*12*(1+Inputs!$B$15)^12+G22*Inputs!$B$12</f>
        <v>47504.4819603745</v>
      </c>
      <c r="H87" s="34" t="n">
        <f aca="false">IF(13&gt;Inputs!$B$7,0,(-PMT(Inputs!$B$6/12,Inputs!$B$7*12,(Inputs!$B$4*(1-Inputs!$B$5)))*12))+H22*Inputs!$B$9+Inputs!$B$10*(1+Inputs!$B$15)^12+Inputs!$B$11*12*(1+Inputs!$B$15)^12+H22*Inputs!$B$12</f>
        <v>49453.9446483138</v>
      </c>
    </row>
    <row r="88" customFormat="false" ht="15" hidden="true" customHeight="true" outlineLevel="0" collapsed="false">
      <c r="B88" s="34" t="n">
        <f aca="false">IF(14&gt;Inputs!$B$7,0,(-PMT(Inputs!$B$6/12,Inputs!$B$7*12,(Inputs!$B$4*(1-Inputs!$B$5)))*12))+B23*Inputs!$B$9+Inputs!$B$10*(1+Inputs!$B$15)^13+Inputs!$B$11*12*(1+Inputs!$B$15)^13+B23*Inputs!$B$12</f>
        <v>40427.0412394883</v>
      </c>
      <c r="C88" s="34" t="n">
        <f aca="false">IF(14&gt;Inputs!$B$7,0,(-PMT(Inputs!$B$6/12,Inputs!$B$7*12,(Inputs!$B$4*(1-Inputs!$B$5)))*12))+C23*Inputs!$B$9+Inputs!$B$10*(1+Inputs!$B$15)^13+Inputs!$B$11*12*(1+Inputs!$B$15)^13+C23*Inputs!$B$12</f>
        <v>41671.4135988008</v>
      </c>
      <c r="D88" s="34" t="n">
        <f aca="false">IF(14&gt;Inputs!$B$7,0,(-PMT(Inputs!$B$6/12,Inputs!$B$7*12,(Inputs!$B$4*(1-Inputs!$B$5)))*12))+D23*Inputs!$B$9+Inputs!$B$10*(1+Inputs!$B$15)^13+Inputs!$B$11*12*(1+Inputs!$B$15)^13+D23*Inputs!$B$12</f>
        <v>43072.7599471706</v>
      </c>
      <c r="E88" s="34" t="n">
        <f aca="false">IF(14&gt;Inputs!$B$7,0,(-PMT(Inputs!$B$6/12,Inputs!$B$7*12,(Inputs!$B$4*(1-Inputs!$B$5)))*12))+E23*Inputs!$B$9+Inputs!$B$10*(1+Inputs!$B$15)^13+Inputs!$B$11*12*(1+Inputs!$B$15)^13+E23*Inputs!$B$12</f>
        <v>44649.0453847717</v>
      </c>
      <c r="F88" s="34" t="n">
        <f aca="false">IF(14&gt;Inputs!$B$7,0,(-PMT(Inputs!$B$6/12,Inputs!$B$7*12,(Inputs!$B$4*(1-Inputs!$B$5)))*12))+F23*Inputs!$B$9+Inputs!$B$10*(1+Inputs!$B$15)^13+Inputs!$B$11*12*(1+Inputs!$B$15)^13+F23*Inputs!$B$12</f>
        <v>46420.085121213</v>
      </c>
      <c r="G88" s="34" t="n">
        <f aca="false">IF(14&gt;Inputs!$B$7,0,(-PMT(Inputs!$B$6/12,Inputs!$B$7*12,(Inputs!$B$4*(1-Inputs!$B$5)))*12))+G23*Inputs!$B$9+Inputs!$B$10*(1+Inputs!$B$15)^13+Inputs!$B$11*12*(1+Inputs!$B$15)^13+G23*Inputs!$B$12</f>
        <v>48407.7142258773</v>
      </c>
      <c r="H88" s="34" t="n">
        <f aca="false">IF(14&gt;Inputs!$B$7,0,(-PMT(Inputs!$B$6/12,Inputs!$B$7*12,(Inputs!$B$4*(1-Inputs!$B$5)))*12))+H23*Inputs!$B$9+Inputs!$B$10*(1+Inputs!$B$15)^13+Inputs!$B$11*12*(1+Inputs!$B$15)^13+H23*Inputs!$B$12</f>
        <v>50635.9710844871</v>
      </c>
    </row>
    <row r="89" customFormat="false" ht="15" hidden="true" customHeight="true" outlineLevel="0" collapsed="false">
      <c r="B89" s="34" t="n">
        <f aca="false">IF(15&gt;Inputs!$B$7,0,(-PMT(Inputs!$B$6/12,Inputs!$B$7*12,(Inputs!$B$4*(1-Inputs!$B$5)))*12))+B24*Inputs!$B$9+Inputs!$B$10*(1+Inputs!$B$15)^14+Inputs!$B$11*12*(1+Inputs!$B$15)^14+B24*Inputs!$B$12</f>
        <v>40523.9644645761</v>
      </c>
      <c r="C89" s="34" t="n">
        <f aca="false">IF(15&gt;Inputs!$B$7,0,(-PMT(Inputs!$B$6/12,Inputs!$B$7*12,(Inputs!$B$4*(1-Inputs!$B$5)))*12))+C24*Inputs!$B$9+Inputs!$B$10*(1+Inputs!$B$15)^14+Inputs!$B$11*12*(1+Inputs!$B$15)^14+C24*Inputs!$B$12</f>
        <v>41870.8915474817</v>
      </c>
      <c r="D89" s="34" t="n">
        <f aca="false">IF(15&gt;Inputs!$B$7,0,(-PMT(Inputs!$B$6/12,Inputs!$B$7*12,(Inputs!$B$4*(1-Inputs!$B$5)))*12))+D24*Inputs!$B$9+Inputs!$B$10*(1+Inputs!$B$15)^14+Inputs!$B$11*12*(1+Inputs!$B$15)^14+D24*Inputs!$B$12</f>
        <v>43402.819546412</v>
      </c>
      <c r="E89" s="34" t="n">
        <f aca="false">IF(15&gt;Inputs!$B$7,0,(-PMT(Inputs!$B$6/12,Inputs!$B$7*12,(Inputs!$B$4*(1-Inputs!$B$5)))*12))+E24*Inputs!$B$9+Inputs!$B$10*(1+Inputs!$B$15)^14+Inputs!$B$11*12*(1+Inputs!$B$15)^14+E24*Inputs!$B$12</f>
        <v>45142.961734218</v>
      </c>
      <c r="F89" s="34" t="n">
        <f aca="false">IF(15&gt;Inputs!$B$7,0,(-PMT(Inputs!$B$6/12,Inputs!$B$7*12,(Inputs!$B$4*(1-Inputs!$B$5)))*12))+F24*Inputs!$B$9+Inputs!$B$10*(1+Inputs!$B$15)^14+Inputs!$B$11*12*(1+Inputs!$B$15)^14+F24*Inputs!$B$12</f>
        <v>47117.1741015698</v>
      </c>
      <c r="G89" s="34" t="n">
        <f aca="false">IF(15&gt;Inputs!$B$7,0,(-PMT(Inputs!$B$6/12,Inputs!$B$7*12,(Inputs!$B$4*(1-Inputs!$B$5)))*12))+G24*Inputs!$B$9+Inputs!$B$10*(1+Inputs!$B$15)^14+Inputs!$B$11*12*(1+Inputs!$B$15)^14+G24*Inputs!$B$12</f>
        <v>49354.2261002845</v>
      </c>
      <c r="H89" s="34" t="n">
        <f aca="false">IF(15&gt;Inputs!$B$7,0,(-PMT(Inputs!$B$6/12,Inputs!$B$7*12,(Inputs!$B$4*(1-Inputs!$B$5)))*12))+H24*Inputs!$B$9+Inputs!$B$10*(1+Inputs!$B$15)^14+Inputs!$B$11*12*(1+Inputs!$B$15)^14+H24*Inputs!$B$12</f>
        <v>51886.0961002749</v>
      </c>
    </row>
    <row r="90" customFormat="false" ht="15" hidden="true" customHeight="true" outlineLevel="0" collapsed="false">
      <c r="B90" s="34" t="n">
        <f aca="false">IF(16&gt;Inputs!$B$7,0,(-PMT(Inputs!$B$6/12,Inputs!$B$7*12,(Inputs!$B$4*(1-Inputs!$B$5)))*12))+B25*Inputs!$B$9+Inputs!$B$10*(1+Inputs!$B$15)^15+Inputs!$B$11*12*(1+Inputs!$B$15)^15+B25*Inputs!$B$12</f>
        <v>40623.7953864166</v>
      </c>
      <c r="C90" s="34" t="n">
        <f aca="false">IF(16&gt;Inputs!$B$7,0,(-PMT(Inputs!$B$6/12,Inputs!$B$7*12,(Inputs!$B$4*(1-Inputs!$B$5)))*12))+C25*Inputs!$B$9+Inputs!$B$10*(1+Inputs!$B$15)^15+Inputs!$B$11*12*(1+Inputs!$B$15)^15+C25*Inputs!$B$12</f>
        <v>42074.3027401512</v>
      </c>
      <c r="D90" s="34" t="n">
        <f aca="false">IF(16&gt;Inputs!$B$7,0,(-PMT(Inputs!$B$6/12,Inputs!$B$7*12,(Inputs!$B$4*(1-Inputs!$B$5)))*12))+D25*Inputs!$B$9+Inputs!$B$10*(1+Inputs!$B$15)^15+Inputs!$B$11*12*(1+Inputs!$B$15)^15+D25*Inputs!$B$12</f>
        <v>43740.4495698892</v>
      </c>
      <c r="E90" s="34" t="n">
        <f aca="false">IF(16&gt;Inputs!$B$7,0,(-PMT(Inputs!$B$6/12,Inputs!$B$7*12,(Inputs!$B$4*(1-Inputs!$B$5)))*12))+E25*Inputs!$B$9+Inputs!$B$10*(1+Inputs!$B$15)^15+Inputs!$B$11*12*(1+Inputs!$B$15)^15+E25*Inputs!$B$12</f>
        <v>45651.6955741477</v>
      </c>
      <c r="F90" s="34" t="n">
        <f aca="false">IF(16&gt;Inputs!$B$7,0,(-PMT(Inputs!$B$6/12,Inputs!$B$7*12,(Inputs!$B$4*(1-Inputs!$B$5)))*12))+F25*Inputs!$B$9+Inputs!$B$10*(1+Inputs!$B$15)^15+Inputs!$B$11*12*(1+Inputs!$B$15)^15+F25*Inputs!$B$12</f>
        <v>47841.17740889</v>
      </c>
      <c r="G90" s="34" t="n">
        <f aca="false">IF(16&gt;Inputs!$B$7,0,(-PMT(Inputs!$B$6/12,Inputs!$B$7*12,(Inputs!$B$4*(1-Inputs!$B$5)))*12))+G25*Inputs!$B$9+Inputs!$B$10*(1+Inputs!$B$15)^15+Inputs!$B$11*12*(1+Inputs!$B$15)^15+G25*Inputs!$B$12</f>
        <v>50346.1251039104</v>
      </c>
      <c r="H90" s="34" t="n">
        <f aca="false">IF(16&gt;Inputs!$B$7,0,(-PMT(Inputs!$B$6/12,Inputs!$B$7*12,(Inputs!$B$4*(1-Inputs!$B$5)))*12))+H25*Inputs!$B$9+Inputs!$B$10*(1+Inputs!$B$15)^15+Inputs!$B$11*12*(1+Inputs!$B$15)^15+H25*Inputs!$B$12</f>
        <v>53208.3209202572</v>
      </c>
    </row>
    <row r="91" customFormat="false" ht="15" hidden="true" customHeight="true" outlineLevel="0" collapsed="false">
      <c r="B91" s="34" t="n">
        <f aca="false">IF(17&gt;Inputs!$B$7,0,(-PMT(Inputs!$B$6/12,Inputs!$B$7*12,(Inputs!$B$4*(1-Inputs!$B$5)))*12))+B26*Inputs!$B$9+Inputs!$B$10*(1+Inputs!$B$15)^16+Inputs!$B$11*12*(1+Inputs!$B$15)^16+B26*Inputs!$B$12</f>
        <v>40726.6212359122</v>
      </c>
      <c r="C91" s="34" t="n">
        <f aca="false">IF(17&gt;Inputs!$B$7,0,(-PMT(Inputs!$B$6/12,Inputs!$B$7*12,(Inputs!$B$4*(1-Inputs!$B$5)))*12))+C26*Inputs!$B$9+Inputs!$B$10*(1+Inputs!$B$15)^16+Inputs!$B$11*12*(1+Inputs!$B$15)^16+C26*Inputs!$B$12</f>
        <v>42281.7446631842</v>
      </c>
      <c r="D91" s="34" t="n">
        <f aca="false">IF(17&gt;Inputs!$B$7,0,(-PMT(Inputs!$B$6/12,Inputs!$B$7*12,(Inputs!$B$4*(1-Inputs!$B$5)))*12))+D26*Inputs!$B$9+Inputs!$B$10*(1+Inputs!$B$15)^16+Inputs!$B$11*12*(1+Inputs!$B$15)^16+D26*Inputs!$B$12</f>
        <v>44085.8305030543</v>
      </c>
      <c r="E91" s="34" t="n">
        <f aca="false">IF(17&gt;Inputs!$B$7,0,(-PMT(Inputs!$B$6/12,Inputs!$B$7*12,(Inputs!$B$4*(1-Inputs!$B$5)))*12))+E26*Inputs!$B$9+Inputs!$B$10*(1+Inputs!$B$15)^16+Inputs!$B$11*12*(1+Inputs!$B$15)^16+E26*Inputs!$B$12</f>
        <v>46175.6914292753</v>
      </c>
      <c r="F91" s="34" t="n">
        <f aca="false">IF(17&gt;Inputs!$B$7,0,(-PMT(Inputs!$B$6/12,Inputs!$B$7*12,(Inputs!$B$4*(1-Inputs!$B$5)))*12))+F26*Inputs!$B$9+Inputs!$B$10*(1+Inputs!$B$15)^16+Inputs!$B$11*12*(1+Inputs!$B$15)^16+F26*Inputs!$B$12</f>
        <v>48593.1425392846</v>
      </c>
      <c r="G91" s="34" t="n">
        <f aca="false">IF(17&gt;Inputs!$B$7,0,(-PMT(Inputs!$B$6/12,Inputs!$B$7*12,(Inputs!$B$4*(1-Inputs!$B$5)))*12))+G26*Inputs!$B$9+Inputs!$B$10*(1+Inputs!$B$15)^16+Inputs!$B$11*12*(1+Inputs!$B$15)^16+G26*Inputs!$B$12</f>
        <v>51385.6224392807</v>
      </c>
      <c r="H91" s="34" t="n">
        <f aca="false">IF(17&gt;Inputs!$B$7,0,(-PMT(Inputs!$B$6/12,Inputs!$B$7*12,(Inputs!$B$4*(1-Inputs!$B$5)))*12))+H26*Inputs!$B$9+Inputs!$B$10*(1+Inputs!$B$15)^16+Inputs!$B$11*12*(1+Inputs!$B$15)^16+H26*Inputs!$B$12</f>
        <v>54606.8843017833</v>
      </c>
    </row>
    <row r="92" customFormat="false" ht="15" hidden="true" customHeight="true" outlineLevel="0" collapsed="false">
      <c r="B92" s="34" t="n">
        <f aca="false">IF(18&gt;Inputs!$B$7,0,(-PMT(Inputs!$B$6/12,Inputs!$B$7*12,(Inputs!$B$4*(1-Inputs!$B$5)))*12))+B27*Inputs!$B$9+Inputs!$B$10*(1+Inputs!$B$15)^17+Inputs!$B$11*12*(1+Inputs!$B$15)^17+B27*Inputs!$B$12</f>
        <v>40832.5318608928</v>
      </c>
      <c r="C92" s="34" t="n">
        <f aca="false">IF(18&gt;Inputs!$B$7,0,(-PMT(Inputs!$B$6/12,Inputs!$B$7*12,(Inputs!$B$4*(1-Inputs!$B$5)))*12))+C27*Inputs!$B$9+Inputs!$B$10*(1+Inputs!$B$15)^17+Inputs!$B$11*12*(1+Inputs!$B$15)^17+C27*Inputs!$B$12</f>
        <v>42493.3175224374</v>
      </c>
      <c r="D92" s="34" t="n">
        <f aca="false">IF(18&gt;Inputs!$B$7,0,(-PMT(Inputs!$B$6/12,Inputs!$B$7*12,(Inputs!$B$4*(1-Inputs!$B$5)))*12))+D27*Inputs!$B$9+Inputs!$B$10*(1+Inputs!$B$15)^17+Inputs!$B$11*12*(1+Inputs!$B$15)^17+D27*Inputs!$B$12</f>
        <v>44439.1473133776</v>
      </c>
      <c r="E92" s="34" t="n">
        <f aca="false">IF(18&gt;Inputs!$B$7,0,(-PMT(Inputs!$B$6/12,Inputs!$B$7*12,(Inputs!$B$4*(1-Inputs!$B$5)))*12))+E27*Inputs!$B$9+Inputs!$B$10*(1+Inputs!$B$15)^17+Inputs!$B$11*12*(1+Inputs!$B$15)^17+E27*Inputs!$B$12</f>
        <v>46715.4071600567</v>
      </c>
      <c r="F92" s="34" t="n">
        <f aca="false">IF(18&gt;Inputs!$B$7,0,(-PMT(Inputs!$B$6/12,Inputs!$B$7*12,(Inputs!$B$4*(1-Inputs!$B$5)))*12))+F27*Inputs!$B$9+Inputs!$B$10*(1+Inputs!$B$15)^17+Inputs!$B$11*12*(1+Inputs!$B$15)^17+F27*Inputs!$B$12</f>
        <v>49374.1580164</v>
      </c>
      <c r="G92" s="34" t="n">
        <f aca="false">IF(18&gt;Inputs!$B$7,0,(-PMT(Inputs!$B$6/12,Inputs!$B$7*12,(Inputs!$B$4*(1-Inputs!$B$5)))*12))+G27*Inputs!$B$9+Inputs!$B$10*(1+Inputs!$B$15)^17+Inputs!$B$11*12*(1+Inputs!$B$15)^17+G27*Inputs!$B$12</f>
        <v>52475.0381244297</v>
      </c>
      <c r="H92" s="34" t="n">
        <f aca="false">IF(18&gt;Inputs!$B$7,0,(-PMT(Inputs!$B$6/12,Inputs!$B$7*12,(Inputs!$B$4*(1-Inputs!$B$5)))*12))+H27*Inputs!$B$9+Inputs!$B$10*(1+Inputs!$B$15)^17+Inputs!$B$11*12*(1+Inputs!$B$15)^17+H27*Inputs!$B$12</f>
        <v>56086.2767107161</v>
      </c>
    </row>
    <row r="93" customFormat="false" ht="15" hidden="true" customHeight="true" outlineLevel="0" collapsed="false">
      <c r="B93" s="34" t="n">
        <f aca="false">IF(19&gt;Inputs!$B$7,0,(-PMT(Inputs!$B$6/12,Inputs!$B$7*12,(Inputs!$B$4*(1-Inputs!$B$5)))*12))+B28*Inputs!$B$9+Inputs!$B$10*(1+Inputs!$B$15)^18+Inputs!$B$11*12*(1+Inputs!$B$15)^18+B28*Inputs!$B$12</f>
        <v>40941.6198046227</v>
      </c>
      <c r="C93" s="34" t="n">
        <f aca="false">IF(19&gt;Inputs!$B$7,0,(-PMT(Inputs!$B$6/12,Inputs!$B$7*12,(Inputs!$B$4*(1-Inputs!$B$5)))*12))+C28*Inputs!$B$9+Inputs!$B$10*(1+Inputs!$B$15)^18+Inputs!$B$11*12*(1+Inputs!$B$15)^18+C28*Inputs!$B$12</f>
        <v>42709.1243227828</v>
      </c>
      <c r="D93" s="34" t="n">
        <f aca="false">IF(19&gt;Inputs!$B$7,0,(-PMT(Inputs!$B$6/12,Inputs!$B$7*12,(Inputs!$B$4*(1-Inputs!$B$5)))*12))+D28*Inputs!$B$9+Inputs!$B$10*(1+Inputs!$B$15)^18+Inputs!$B$11*12*(1+Inputs!$B$15)^18+D28*Inputs!$B$12</f>
        <v>44800.5895661573</v>
      </c>
      <c r="E93" s="34" t="n">
        <f aca="false">IF(19&gt;Inputs!$B$7,0,(-PMT(Inputs!$B$6/12,Inputs!$B$7*12,(Inputs!$B$4*(1-Inputs!$B$5)))*12))+E28*Inputs!$B$9+Inputs!$B$10*(1+Inputs!$B$15)^18+Inputs!$B$11*12*(1+Inputs!$B$15)^18+E28*Inputs!$B$12</f>
        <v>47271.3143627616</v>
      </c>
      <c r="F93" s="34" t="n">
        <f aca="false">IF(19&gt;Inputs!$B$7,0,(-PMT(Inputs!$B$6/12,Inputs!$B$7*12,(Inputs!$B$4*(1-Inputs!$B$5)))*12))+F28*Inputs!$B$9+Inputs!$B$10*(1+Inputs!$B$15)^18+Inputs!$B$11*12*(1+Inputs!$B$15)^18+F28*Inputs!$B$12</f>
        <v>50185.3550063502</v>
      </c>
      <c r="G93" s="34" t="n">
        <f aca="false">IF(19&gt;Inputs!$B$7,0,(-PMT(Inputs!$B$6/12,Inputs!$B$7*12,(Inputs!$B$4*(1-Inputs!$B$5)))*12))+G28*Inputs!$B$9+Inputs!$B$10*(1+Inputs!$B$15)^18+Inputs!$B$11*12*(1+Inputs!$B$15)^18+G28*Inputs!$B$12</f>
        <v>53616.8063813364</v>
      </c>
      <c r="H93" s="34" t="n">
        <f aca="false">IF(19&gt;Inputs!$B$7,0,(-PMT(Inputs!$B$6/12,Inputs!$B$7*12,(Inputs!$B$4*(1-Inputs!$B$5)))*12))+H28*Inputs!$B$9+Inputs!$B$10*(1+Inputs!$B$15)^18+Inputs!$B$11*12*(1+Inputs!$B$15)^18+H28*Inputs!$B$12</f>
        <v>57651.2553454354</v>
      </c>
    </row>
    <row r="94" customFormat="false" ht="15" hidden="true" customHeight="true" outlineLevel="0" collapsed="false">
      <c r="B94" s="34" t="n">
        <f aca="false">IF(20&gt;Inputs!$B$7,0,(-PMT(Inputs!$B$6/12,Inputs!$B$7*12,(Inputs!$B$4*(1-Inputs!$B$5)))*12))+B29*Inputs!$B$9+Inputs!$B$10*(1+Inputs!$B$15)^19+Inputs!$B$11*12*(1+Inputs!$B$15)^19+B29*Inputs!$B$12</f>
        <v>41053.9803866645</v>
      </c>
      <c r="C94" s="34" t="n">
        <f aca="false">IF(20&gt;Inputs!$B$7,0,(-PMT(Inputs!$B$6/12,Inputs!$B$7*12,(Inputs!$B$4*(1-Inputs!$B$5)))*12))+C29*Inputs!$B$9+Inputs!$B$10*(1+Inputs!$B$15)^19+Inputs!$B$11*12*(1+Inputs!$B$15)^19+C29*Inputs!$B$12</f>
        <v>42929.2709500062</v>
      </c>
      <c r="D94" s="34" t="n">
        <f aca="false">IF(20&gt;Inputs!$B$7,0,(-PMT(Inputs!$B$6/12,Inputs!$B$7*12,(Inputs!$B$4*(1-Inputs!$B$5)))*12))+D29*Inputs!$B$9+Inputs!$B$10*(1+Inputs!$B$15)^19+Inputs!$B$11*12*(1+Inputs!$B$15)^19+D29*Inputs!$B$12</f>
        <v>45170.3515434298</v>
      </c>
      <c r="E94" s="34" t="n">
        <f aca="false">IF(20&gt;Inputs!$B$7,0,(-PMT(Inputs!$B$6/12,Inputs!$B$7*12,(Inputs!$B$4*(1-Inputs!$B$5)))*12))+E29*Inputs!$B$9+Inputs!$B$10*(1+Inputs!$B$15)^19+Inputs!$B$11*12*(1+Inputs!$B$15)^19+E29*Inputs!$B$12</f>
        <v>47843.8987815476</v>
      </c>
      <c r="F94" s="34" t="n">
        <f aca="false">IF(20&gt;Inputs!$B$7,0,(-PMT(Inputs!$B$6/12,Inputs!$B$7*12,(Inputs!$B$4*(1-Inputs!$B$5)))*12))+F29*Inputs!$B$9+Inputs!$B$10*(1+Inputs!$B$15)^19+Inputs!$B$11*12*(1+Inputs!$B$15)^19+F29*Inputs!$B$12</f>
        <v>51027.9089964611</v>
      </c>
      <c r="G94" s="34" t="n">
        <f aca="false">IF(20&gt;Inputs!$B$7,0,(-PMT(Inputs!$B$6/12,Inputs!$B$7*12,(Inputs!$B$4*(1-Inputs!$B$5)))*12))+G29*Inputs!$B$9+Inputs!$B$10*(1+Inputs!$B$15)^19+Inputs!$B$11*12*(1+Inputs!$B$15)^19+G29*Inputs!$B$12</f>
        <v>54813.481292214</v>
      </c>
      <c r="H94" s="34" t="n">
        <f aca="false">IF(20&gt;Inputs!$B$7,0,(-PMT(Inputs!$B$6/12,Inputs!$B$7*12,(Inputs!$B$4*(1-Inputs!$B$5)))*12))+H29*Inputs!$B$9+Inputs!$B$10*(1+Inputs!$B$15)^19+Inputs!$B$11*12*(1+Inputs!$B$15)^19+H29*Inputs!$B$12</f>
        <v>59306.860059926</v>
      </c>
    </row>
    <row r="95" customFormat="false" ht="15" hidden="true" customHeight="true" outlineLevel="0" collapsed="false">
      <c r="B95" s="34" t="n">
        <f aca="false">IF(21&gt;Inputs!$B$7,0,(-PMT(Inputs!$B$6/12,Inputs!$B$7*12,(Inputs!$B$4*(1-Inputs!$B$5)))*12))+B30*Inputs!$B$9+Inputs!$B$10*(1+Inputs!$B$15)^20+Inputs!$B$11*12*(1+Inputs!$B$15)^20+B30*Inputs!$B$12</f>
        <v>41169.7117861676</v>
      </c>
      <c r="C95" s="34" t="n">
        <f aca="false">IF(21&gt;Inputs!$B$7,0,(-PMT(Inputs!$B$6/12,Inputs!$B$7*12,(Inputs!$B$4*(1-Inputs!$B$5)))*12))+C30*Inputs!$B$9+Inputs!$B$10*(1+Inputs!$B$15)^20+Inputs!$B$11*12*(1+Inputs!$B$15)^20+C30*Inputs!$B$12</f>
        <v>43153.8662551427</v>
      </c>
      <c r="D95" s="34" t="n">
        <f aca="false">IF(21&gt;Inputs!$B$7,0,(-PMT(Inputs!$B$6/12,Inputs!$B$7*12,(Inputs!$B$4*(1-Inputs!$B$5)))*12))+D30*Inputs!$B$9+Inputs!$B$10*(1+Inputs!$B$15)^20+Inputs!$B$11*12*(1+Inputs!$B$15)^20+D30*Inputs!$B$12</f>
        <v>45548.6323660682</v>
      </c>
      <c r="E95" s="34" t="n">
        <f aca="false">IF(21&gt;Inputs!$B$7,0,(-PMT(Inputs!$B$6/12,Inputs!$B$7*12,(Inputs!$B$4*(1-Inputs!$B$5)))*12))+E30*Inputs!$B$9+Inputs!$B$10*(1+Inputs!$B$15)^20+Inputs!$B$11*12*(1+Inputs!$B$15)^20+E30*Inputs!$B$12</f>
        <v>48433.6607328972</v>
      </c>
      <c r="F95" s="34" t="n">
        <f aca="false">IF(21&gt;Inputs!$B$7,0,(-PMT(Inputs!$B$6/12,Inputs!$B$7*12,(Inputs!$B$4*(1-Inputs!$B$5)))*12))+F30*Inputs!$B$9+Inputs!$B$10*(1+Inputs!$B$15)^20+Inputs!$B$11*12*(1+Inputs!$B$15)^20+F30*Inputs!$B$12</f>
        <v>51903.0415403561</v>
      </c>
      <c r="G95" s="34" t="n">
        <f aca="false">IF(21&gt;Inputs!$B$7,0,(-PMT(Inputs!$B$6/12,Inputs!$B$7*12,(Inputs!$B$4*(1-Inputs!$B$5)))*12))+G30*Inputs!$B$9+Inputs!$B$10*(1+Inputs!$B$15)^20+Inputs!$B$11*12*(1+Inputs!$B$15)^20+G30*Inputs!$B$12</f>
        <v>56067.7427369945</v>
      </c>
      <c r="H95" s="34" t="n">
        <f aca="false">IF(21&gt;Inputs!$B$7,0,(-PMT(Inputs!$B$6/12,Inputs!$B$7*12,(Inputs!$B$4*(1-Inputs!$B$5)))*12))+H30*Inputs!$B$9+Inputs!$B$10*(1+Inputs!$B$15)^20+Inputs!$B$11*12*(1+Inputs!$B$15)^20+H30*Inputs!$B$12</f>
        <v>61058.4302398248</v>
      </c>
    </row>
    <row r="96" customFormat="false" ht="15" hidden="true" customHeight="true" outlineLevel="0" collapsed="false">
      <c r="B96" s="34" t="n">
        <f aca="false">IF(22&gt;Inputs!$B$7,0,(-PMT(Inputs!$B$6/12,Inputs!$B$7*12,(Inputs!$B$4*(1-Inputs!$B$5)))*12))+B31*Inputs!$B$9+Inputs!$B$10*(1+Inputs!$B$15)^21+Inputs!$B$11*12*(1+Inputs!$B$15)^21+B31*Inputs!$B$12</f>
        <v>41288.9151276558</v>
      </c>
      <c r="C96" s="34" t="n">
        <f aca="false">IF(22&gt;Inputs!$B$7,0,(-PMT(Inputs!$B$6/12,Inputs!$B$7*12,(Inputs!$B$4*(1-Inputs!$B$5)))*12))+C31*Inputs!$B$9+Inputs!$B$10*(1+Inputs!$B$15)^21+Inputs!$B$11*12*(1+Inputs!$B$15)^21+C31*Inputs!$B$12</f>
        <v>43383.0221413207</v>
      </c>
      <c r="D96" s="34" t="n">
        <f aca="false">IF(22&gt;Inputs!$B$7,0,(-PMT(Inputs!$B$6/12,Inputs!$B$7*12,(Inputs!$B$4*(1-Inputs!$B$5)))*12))+D31*Inputs!$B$9+Inputs!$B$10*(1+Inputs!$B$15)^21+Inputs!$B$11*12*(1+Inputs!$B$15)^21+D31*Inputs!$B$12</f>
        <v>45935.6361191544</v>
      </c>
      <c r="E96" s="34" t="n">
        <f aca="false">IF(22&gt;Inputs!$B$7,0,(-PMT(Inputs!$B$6/12,Inputs!$B$7*12,(Inputs!$B$4*(1-Inputs!$B$5)))*12))+E31*Inputs!$B$9+Inputs!$B$10*(1+Inputs!$B$15)^21+Inputs!$B$11*12*(1+Inputs!$B$15)^21+E31*Inputs!$B$12</f>
        <v>49041.1155427872</v>
      </c>
      <c r="F96" s="34" t="n">
        <f aca="false">IF(22&gt;Inputs!$B$7,0,(-PMT(Inputs!$B$6/12,Inputs!$B$7*12,(Inputs!$B$4*(1-Inputs!$B$5)))*12))+F31*Inputs!$B$9+Inputs!$B$10*(1+Inputs!$B$15)^21+Inputs!$B$11*12*(1+Inputs!$B$15)^21+F31*Inputs!$B$12</f>
        <v>52812.0220720118</v>
      </c>
      <c r="G96" s="34" t="n">
        <f aca="false">IF(22&gt;Inputs!$B$7,0,(-PMT(Inputs!$B$6/12,Inputs!$B$7*12,(Inputs!$B$4*(1-Inputs!$B$5)))*12))+G31*Inputs!$B$9+Inputs!$B$10*(1+Inputs!$B$15)^21+Inputs!$B$11*12*(1+Inputs!$B$15)^21+G31*Inputs!$B$12</f>
        <v>57382.4026260241</v>
      </c>
      <c r="H96" s="34" t="n">
        <f aca="false">IF(22&gt;Inputs!$B$7,0,(-PMT(Inputs!$B$6/12,Inputs!$B$7*12,(Inputs!$B$4*(1-Inputs!$B$5)))*12))+H31*Inputs!$B$9+Inputs!$B$10*(1+Inputs!$B$15)^21+Inputs!$B$11*12*(1+Inputs!$B$15)^21+H31*Inputs!$B$12</f>
        <v>62911.6226885324</v>
      </c>
    </row>
    <row r="97" customFormat="false" ht="15" hidden="true" customHeight="true" outlineLevel="0" collapsed="false">
      <c r="B97" s="34" t="n">
        <f aca="false">IF(23&gt;Inputs!$B$7,0,(-PMT(Inputs!$B$6/12,Inputs!$B$7*12,(Inputs!$B$4*(1-Inputs!$B$5)))*12))+B32*Inputs!$B$9+Inputs!$B$10*(1+Inputs!$B$15)^22+Inputs!$B$11*12*(1+Inputs!$B$15)^22+B32*Inputs!$B$12</f>
        <v>41411.6945693886</v>
      </c>
      <c r="C97" s="34" t="n">
        <f aca="false">IF(23&gt;Inputs!$B$7,0,(-PMT(Inputs!$B$6/12,Inputs!$B$7*12,(Inputs!$B$4*(1-Inputs!$B$5)))*12))+C32*Inputs!$B$9+Inputs!$B$10*(1+Inputs!$B$15)^22+Inputs!$B$11*12*(1+Inputs!$B$15)^22+C32*Inputs!$B$12</f>
        <v>43616.8536531902</v>
      </c>
      <c r="D97" s="34" t="n">
        <f aca="false">IF(23&gt;Inputs!$B$7,0,(-PMT(Inputs!$B$6/12,Inputs!$B$7*12,(Inputs!$B$4*(1-Inputs!$B$5)))*12))+D32*Inputs!$B$9+Inputs!$B$10*(1+Inputs!$B$15)^22+Inputs!$B$11*12*(1+Inputs!$B$15)^22+D32*Inputs!$B$12</f>
        <v>46331.5719807172</v>
      </c>
      <c r="E97" s="34" t="n">
        <f aca="false">IF(23&gt;Inputs!$B$7,0,(-PMT(Inputs!$B$6/12,Inputs!$B$7*12,(Inputs!$B$4*(1-Inputs!$B$5)))*12))+E32*Inputs!$B$9+Inputs!$B$10*(1+Inputs!$B$15)^22+Inputs!$B$11*12*(1+Inputs!$B$15)^22+E32*Inputs!$B$12</f>
        <v>49666.793996974</v>
      </c>
      <c r="F97" s="34" t="n">
        <f aca="false">IF(23&gt;Inputs!$B$7,0,(-PMT(Inputs!$B$6/12,Inputs!$B$7*12,(Inputs!$B$4*(1-Inputs!$B$5)))*12))+F32*Inputs!$B$9+Inputs!$B$10*(1+Inputs!$B$15)^22+Inputs!$B$11*12*(1+Inputs!$B$15)^22+F32*Inputs!$B$12</f>
        <v>53756.1697915189</v>
      </c>
      <c r="G97" s="34" t="n">
        <f aca="false">IF(23&gt;Inputs!$B$7,0,(-PMT(Inputs!$B$6/12,Inputs!$B$7*12,(Inputs!$B$4*(1-Inputs!$B$5)))*12))+G32*Inputs!$B$9+Inputs!$B$10*(1+Inputs!$B$15)^22+Inputs!$B$11*12*(1+Inputs!$B$15)^22+G32*Inputs!$B$12</f>
        <v>58760.4114426753</v>
      </c>
      <c r="H97" s="34" t="n">
        <f aca="false">IF(23&gt;Inputs!$B$7,0,(-PMT(Inputs!$B$6/12,Inputs!$B$7*12,(Inputs!$B$4*(1-Inputs!$B$5)))*12))+H32*Inputs!$B$9+Inputs!$B$10*(1+Inputs!$B$15)^22+Inputs!$B$11*12*(1+Inputs!$B$15)^22+H32*Inputs!$B$12</f>
        <v>64872.4305839179</v>
      </c>
    </row>
    <row r="98" customFormat="false" ht="15" hidden="true" customHeight="true" outlineLevel="0" collapsed="false">
      <c r="B98" s="34" t="n">
        <f aca="false">IF(24&gt;Inputs!$B$7,0,(-PMT(Inputs!$B$6/12,Inputs!$B$7*12,(Inputs!$B$4*(1-Inputs!$B$5)))*12))+B33*Inputs!$B$9+Inputs!$B$10*(1+Inputs!$B$15)^23+Inputs!$B$11*12*(1+Inputs!$B$15)^23+B33*Inputs!$B$12</f>
        <v>41538.1573943734</v>
      </c>
      <c r="C98" s="34" t="n">
        <f aca="false">IF(24&gt;Inputs!$B$7,0,(-PMT(Inputs!$B$6/12,Inputs!$B$7*12,(Inputs!$B$4*(1-Inputs!$B$5)))*12))+C33*Inputs!$B$9+Inputs!$B$10*(1+Inputs!$B$15)^23+Inputs!$B$11*12*(1+Inputs!$B$15)^23+C33*Inputs!$B$12</f>
        <v>43855.479069013</v>
      </c>
      <c r="D98" s="34" t="n">
        <f aca="false">IF(24&gt;Inputs!$B$7,0,(-PMT(Inputs!$B$6/12,Inputs!$B$7*12,(Inputs!$B$4*(1-Inputs!$B$5)))*12))+D33*Inputs!$B$9+Inputs!$B$10*(1+Inputs!$B$15)^23+Inputs!$B$11*12*(1+Inputs!$B$15)^23+D33*Inputs!$B$12</f>
        <v>46736.6543539285</v>
      </c>
      <c r="E98" s="34" t="n">
        <f aca="false">IF(24&gt;Inputs!$B$7,0,(-PMT(Inputs!$B$6/12,Inputs!$B$7*12,(Inputs!$B$4*(1-Inputs!$B$5)))*12))+E33*Inputs!$B$9+Inputs!$B$10*(1+Inputs!$B$15)^23+Inputs!$B$11*12*(1+Inputs!$B$15)^23+E33*Inputs!$B$12</f>
        <v>50311.2428047864</v>
      </c>
      <c r="F98" s="34" t="n">
        <f aca="false">IF(24&gt;Inputs!$B$7,0,(-PMT(Inputs!$B$6/12,Inputs!$B$7*12,(Inputs!$B$4*(1-Inputs!$B$5)))*12))+F33*Inputs!$B$9+Inputs!$B$10*(1+Inputs!$B$15)^23+Inputs!$B$11*12*(1+Inputs!$B$15)^23+F33*Inputs!$B$12</f>
        <v>54736.8556253889</v>
      </c>
      <c r="G98" s="34" t="n">
        <f aca="false">IF(24&gt;Inputs!$B$7,0,(-PMT(Inputs!$B$6/12,Inputs!$B$7*12,(Inputs!$B$4*(1-Inputs!$B$5)))*12))+G33*Inputs!$B$9+Inputs!$B$10*(1+Inputs!$B$15)^23+Inputs!$B$11*12*(1+Inputs!$B$15)^23+G33*Inputs!$B$12</f>
        <v>60204.8651113244</v>
      </c>
      <c r="H98" s="34" t="n">
        <f aca="false">IF(24&gt;Inputs!$B$7,0,(-PMT(Inputs!$B$6/12,Inputs!$B$7*12,(Inputs!$B$4*(1-Inputs!$B$5)))*12))+H33*Inputs!$B$9+Inputs!$B$10*(1+Inputs!$B$15)^23+Inputs!$B$11*12*(1+Inputs!$B$15)^23+H33*Inputs!$B$12</f>
        <v>66947.2035697744</v>
      </c>
    </row>
    <row r="99" customFormat="false" ht="15" hidden="true" customHeight="true" outlineLevel="0" collapsed="false">
      <c r="B99" s="34" t="n">
        <f aca="false">IF(25&gt;Inputs!$B$7,0,(-PMT(Inputs!$B$6/12,Inputs!$B$7*12,(Inputs!$B$4*(1-Inputs!$B$5)))*12))+B34*Inputs!$B$9+Inputs!$B$10*(1+Inputs!$B$15)^24+Inputs!$B$11*12*(1+Inputs!$B$15)^24+B34*Inputs!$B$12</f>
        <v>41668.4141041078</v>
      </c>
      <c r="C99" s="34" t="n">
        <f aca="false">IF(25&gt;Inputs!$B$7,0,(-PMT(Inputs!$B$6/12,Inputs!$B$7*12,(Inputs!$B$4*(1-Inputs!$B$5)))*12))+C34*Inputs!$B$9+Inputs!$B$10*(1+Inputs!$B$15)^24+Inputs!$B$11*12*(1+Inputs!$B$15)^24+C34*Inputs!$B$12</f>
        <v>44099.0199954937</v>
      </c>
      <c r="D99" s="34" t="n">
        <f aca="false">IF(25&gt;Inputs!$B$7,0,(-PMT(Inputs!$B$6/12,Inputs!$B$7*12,(Inputs!$B$4*(1-Inputs!$B$5)))*12))+D34*Inputs!$B$9+Inputs!$B$10*(1+Inputs!$B$15)^24+Inputs!$B$11*12*(1+Inputs!$B$15)^24+D34*Inputs!$B$12</f>
        <v>47151.103002854</v>
      </c>
      <c r="E99" s="34" t="n">
        <f aca="false">IF(25&gt;Inputs!$B$7,0,(-PMT(Inputs!$B$6/12,Inputs!$B$7*12,(Inputs!$B$4*(1-Inputs!$B$5)))*12))+E34*Inputs!$B$9+Inputs!$B$10*(1+Inputs!$B$15)^24+Inputs!$B$11*12*(1+Inputs!$B$15)^24+E34*Inputs!$B$12</f>
        <v>50975.0250768331</v>
      </c>
      <c r="F99" s="34" t="n">
        <f aca="false">IF(25&gt;Inputs!$B$7,0,(-PMT(Inputs!$B$6/12,Inputs!$B$7*12,(Inputs!$B$4*(1-Inputs!$B$5)))*12))+F34*Inputs!$B$9+Inputs!$B$10*(1+Inputs!$B$15)^24+Inputs!$B$11*12*(1+Inputs!$B$15)^24+F34*Inputs!$B$12</f>
        <v>55755.5042643639</v>
      </c>
      <c r="G99" s="34" t="n">
        <f aca="false">IF(25&gt;Inputs!$B$7,0,(-PMT(Inputs!$B$6/12,Inputs!$B$7*12,(Inputs!$B$4*(1-Inputs!$B$5)))*12))+G34*Inputs!$B$9+Inputs!$B$10*(1+Inputs!$B$15)^24+Inputs!$B$11*12*(1+Inputs!$B$15)^24+G34*Inputs!$B$12</f>
        <v>61719.0122069064</v>
      </c>
      <c r="H99" s="34" t="n">
        <f aca="false">IF(25&gt;Inputs!$B$7,0,(-PMT(Inputs!$B$6/12,Inputs!$B$7*12,(Inputs!$B$4*(1-Inputs!$B$5)))*12))+H34*Inputs!$B$9+Inputs!$B$10*(1+Inputs!$B$15)^24+Inputs!$B$11*12*(1+Inputs!$B$15)^24+H34*Inputs!$B$12</f>
        <v>69142.6690500328</v>
      </c>
    </row>
    <row r="100" customFormat="false" ht="15" hidden="true" customHeight="true" outlineLevel="0" collapsed="false">
      <c r="B100" s="34" t="n">
        <f aca="false">IF(26&gt;Inputs!$B$7,0,(-PMT(Inputs!$B$6/12,Inputs!$B$7*12,(Inputs!$B$4*(1-Inputs!$B$5)))*12))+B35*Inputs!$B$9+Inputs!$B$10*(1+Inputs!$B$15)^25+Inputs!$B$11*12*(1+Inputs!$B$15)^25+B35*Inputs!$B$12</f>
        <v>41802.5785151342</v>
      </c>
      <c r="C100" s="34" t="n">
        <f aca="false">IF(26&gt;Inputs!$B$7,0,(-PMT(Inputs!$B$6/12,Inputs!$B$7*12,(Inputs!$B$4*(1-Inputs!$B$5)))*12))+C35*Inputs!$B$9+Inputs!$B$10*(1+Inputs!$B$15)^25+Inputs!$B$11*12*(1+Inputs!$B$15)^25+C35*Inputs!$B$12</f>
        <v>44347.601465434</v>
      </c>
      <c r="D100" s="34" t="n">
        <f aca="false">IF(26&gt;Inputs!$B$7,0,(-PMT(Inputs!$B$6/12,Inputs!$B$7*12,(Inputs!$B$4*(1-Inputs!$B$5)))*12))+D35*Inputs!$B$9+Inputs!$B$10*(1+Inputs!$B$15)^25+Inputs!$B$11*12*(1+Inputs!$B$15)^25+D35*Inputs!$B$12</f>
        <v>47575.1431918553</v>
      </c>
      <c r="E100" s="34" t="n">
        <f aca="false">IF(26&gt;Inputs!$B$7,0,(-PMT(Inputs!$B$6/12,Inputs!$B$7*12,(Inputs!$B$4*(1-Inputs!$B$5)))*12))+E35*Inputs!$B$9+Inputs!$B$10*(1+Inputs!$B$15)^25+Inputs!$B$11*12*(1+Inputs!$B$15)^25+E35*Inputs!$B$12</f>
        <v>51658.7208170413</v>
      </c>
      <c r="F100" s="34" t="n">
        <f aca="false">IF(26&gt;Inputs!$B$7,0,(-PMT(Inputs!$B$6/12,Inputs!$B$7*12,(Inputs!$B$4*(1-Inputs!$B$5)))*12))+F35*Inputs!$B$9+Inputs!$B$10*(1+Inputs!$B$15)^25+Inputs!$B$11*12*(1+Inputs!$B$15)^25+F35*Inputs!$B$12</f>
        <v>56813.5962818005</v>
      </c>
      <c r="G100" s="34" t="n">
        <f aca="false">IF(26&gt;Inputs!$B$7,0,(-PMT(Inputs!$B$6/12,Inputs!$B$7*12,(Inputs!$B$4*(1-Inputs!$B$5)))*12))+G35*Inputs!$B$9+Inputs!$B$10*(1+Inputs!$B$15)^25+Inputs!$B$11*12*(1+Inputs!$B$15)^25+G35*Inputs!$B$12</f>
        <v>63306.2615230727</v>
      </c>
      <c r="H100" s="34" t="n">
        <f aca="false">IF(26&gt;Inputs!$B$7,0,(-PMT(Inputs!$B$6/12,Inputs!$B$7*12,(Inputs!$B$4*(1-Inputs!$B$5)))*12))+H35*Inputs!$B$9+Inputs!$B$10*(1+Inputs!$B$15)^25+Inputs!$B$11*12*(1+Inputs!$B$15)^25+H35*Inputs!$B$12</f>
        <v>71465.9547578147</v>
      </c>
    </row>
    <row r="101" customFormat="false" ht="15" hidden="true" customHeight="true" outlineLevel="0" collapsed="false">
      <c r="B101" s="34" t="n">
        <f aca="false">IF(27&gt;Inputs!$B$7,0,(-PMT(Inputs!$B$6/12,Inputs!$B$7*12,(Inputs!$B$4*(1-Inputs!$B$5)))*12))+B36*Inputs!$B$9+Inputs!$B$10*(1+Inputs!$B$15)^26+Inputs!$B$11*12*(1+Inputs!$B$15)^26+B36*Inputs!$B$12</f>
        <v>41940.7678584914</v>
      </c>
      <c r="C101" s="34" t="n">
        <f aca="false">IF(27&gt;Inputs!$B$7,0,(-PMT(Inputs!$B$6/12,Inputs!$B$7*12,(Inputs!$B$4*(1-Inputs!$B$5)))*12))+C36*Inputs!$B$9+Inputs!$B$10*(1+Inputs!$B$15)^26+Inputs!$B$11*12*(1+Inputs!$B$15)^26+C36*Inputs!$B$12</f>
        <v>44601.3520382942</v>
      </c>
      <c r="D101" s="34" t="n">
        <f aca="false">IF(27&gt;Inputs!$B$7,0,(-PMT(Inputs!$B$6/12,Inputs!$B$7*12,(Inputs!$B$4*(1-Inputs!$B$5)))*12))+D36*Inputs!$B$9+Inputs!$B$10*(1+Inputs!$B$15)^26+Inputs!$B$11*12*(1+Inputs!$B$15)^26+D36*Inputs!$B$12</f>
        <v>48009.0058287469</v>
      </c>
      <c r="E101" s="34" t="n">
        <f aca="false">IF(27&gt;Inputs!$B$7,0,(-PMT(Inputs!$B$6/12,Inputs!$B$7*12,(Inputs!$B$4*(1-Inputs!$B$5)))*12))+E36*Inputs!$B$9+Inputs!$B$10*(1+Inputs!$B$15)^26+Inputs!$B$11*12*(1+Inputs!$B$15)^26+E36*Inputs!$B$12</f>
        <v>52362.9274294557</v>
      </c>
      <c r="F101" s="34" t="n">
        <f aca="false">IF(27&gt;Inputs!$B$7,0,(-PMT(Inputs!$B$6/12,Inputs!$B$7*12,(Inputs!$B$4*(1-Inputs!$B$5)))*12))+F36*Inputs!$B$9+Inputs!$B$10*(1+Inputs!$B$15)^26+Inputs!$B$11*12*(1+Inputs!$B$15)^26+F36*Inputs!$B$12</f>
        <v>57912.6703358243</v>
      </c>
      <c r="G101" s="34" t="n">
        <f aca="false">IF(27&gt;Inputs!$B$7,0,(-PMT(Inputs!$B$6/12,Inputs!$B$7*12,(Inputs!$B$4*(1-Inputs!$B$5)))*12))+G36*Inputs!$B$9+Inputs!$B$10*(1+Inputs!$B$15)^26+Inputs!$B$11*12*(1+Inputs!$B$15)^26+G36*Inputs!$B$12</f>
        <v>64970.1900168268</v>
      </c>
      <c r="H101" s="34" t="n">
        <f aca="false">IF(27&gt;Inputs!$B$7,0,(-PMT(Inputs!$B$6/12,Inputs!$B$7*12,(Inputs!$B$4*(1-Inputs!$B$5)))*12))+H36*Inputs!$B$9+Inputs!$B$10*(1+Inputs!$B$15)^26+Inputs!$B$11*12*(1+Inputs!$B$15)^26+H36*Inputs!$B$12</f>
        <v>73924.6126757327</v>
      </c>
    </row>
    <row r="102" customFormat="false" ht="15" hidden="true" customHeight="true" outlineLevel="0" collapsed="false">
      <c r="B102" s="34" t="n">
        <f aca="false">IF(28&gt;Inputs!$B$7,0,(-PMT(Inputs!$B$6/12,Inputs!$B$7*12,(Inputs!$B$4*(1-Inputs!$B$5)))*12))+B37*Inputs!$B$9+Inputs!$B$10*(1+Inputs!$B$15)^27+Inputs!$B$11*12*(1+Inputs!$B$15)^27+B37*Inputs!$B$12</f>
        <v>42083.1028821493</v>
      </c>
      <c r="C102" s="34" t="n">
        <f aca="false">IF(28&gt;Inputs!$B$7,0,(-PMT(Inputs!$B$6/12,Inputs!$B$7*12,(Inputs!$B$4*(1-Inputs!$B$5)))*12))+C37*Inputs!$B$9+Inputs!$B$10*(1+Inputs!$B$15)^27+Inputs!$B$11*12*(1+Inputs!$B$15)^27+C37*Inputs!$B$12</f>
        <v>44860.4039037501</v>
      </c>
      <c r="D102" s="34" t="n">
        <f aca="false">IF(28&gt;Inputs!$B$7,0,(-PMT(Inputs!$B$6/12,Inputs!$B$7*12,(Inputs!$B$4*(1-Inputs!$B$5)))*12))+D37*Inputs!$B$9+Inputs!$B$10*(1+Inputs!$B$15)^27+Inputs!$B$11*12*(1+Inputs!$B$15)^27+D37*Inputs!$B$12</f>
        <v>48452.9276118099</v>
      </c>
      <c r="E102" s="34" t="n">
        <f aca="false">IF(28&gt;Inputs!$B$7,0,(-PMT(Inputs!$B$6/12,Inputs!$B$7*12,(Inputs!$B$4*(1-Inputs!$B$5)))*12))+E37*Inputs!$B$9+Inputs!$B$10*(1+Inputs!$B$15)^27+Inputs!$B$11*12*(1+Inputs!$B$15)^27+E37*Inputs!$B$12</f>
        <v>53088.2602402425</v>
      </c>
      <c r="F102" s="34" t="n">
        <f aca="false">IF(28&gt;Inputs!$B$7,0,(-PMT(Inputs!$B$6/12,Inputs!$B$7*12,(Inputs!$B$4*(1-Inputs!$B$5)))*12))+F37*Inputs!$B$9+Inputs!$B$10*(1+Inputs!$B$15)^27+Inputs!$B$11*12*(1+Inputs!$B$15)^27+F37*Inputs!$B$12</f>
        <v>59054.3254585755</v>
      </c>
      <c r="G102" s="34" t="n">
        <f aca="false">IF(28&gt;Inputs!$B$7,0,(-PMT(Inputs!$B$6/12,Inputs!$B$7*12,(Inputs!$B$4*(1-Inputs!$B$5)))*12))+G37*Inputs!$B$9+Inputs!$B$10*(1+Inputs!$B$15)^27+Inputs!$B$11*12*(1+Inputs!$B$15)^27+G37*Inputs!$B$12</f>
        <v>66714.5511484014</v>
      </c>
      <c r="H102" s="34" t="n">
        <f aca="false">IF(28&gt;Inputs!$B$7,0,(-PMT(Inputs!$B$6/12,Inputs!$B$7*12,(Inputs!$B$4*(1-Inputs!$B$5)))*12))+H37*Inputs!$B$9+Inputs!$B$10*(1+Inputs!$B$15)^27+Inputs!$B$11*12*(1+Inputs!$B$15)^27+H37*Inputs!$B$12</f>
        <v>76526.6443884251</v>
      </c>
    </row>
    <row r="103" customFormat="false" ht="15" hidden="true" customHeight="true" outlineLevel="0" collapsed="false">
      <c r="B103" s="34" t="n">
        <f aca="false">IF(29&gt;Inputs!$B$7,0,(-PMT(Inputs!$B$6/12,Inputs!$B$7*12,(Inputs!$B$4*(1-Inputs!$B$5)))*12))+B38*Inputs!$B$9+Inputs!$B$10*(1+Inputs!$B$15)^28+Inputs!$B$11*12*(1+Inputs!$B$15)^28+B38*Inputs!$B$12</f>
        <v>42229.7079565169</v>
      </c>
      <c r="C103" s="34" t="n">
        <f aca="false">IF(29&gt;Inputs!$B$7,0,(-PMT(Inputs!$B$6/12,Inputs!$B$7*12,(Inputs!$B$4*(1-Inputs!$B$5)))*12))+C38*Inputs!$B$9+Inputs!$B$10*(1+Inputs!$B$15)^28+Inputs!$B$11*12*(1+Inputs!$B$15)^28+C38*Inputs!$B$12</f>
        <v>45124.8929883337</v>
      </c>
      <c r="D103" s="34" t="n">
        <f aca="false">IF(29&gt;Inputs!$B$7,0,(-PMT(Inputs!$B$6/12,Inputs!$B$7*12,(Inputs!$B$4*(1-Inputs!$B$5)))*12))+D38*Inputs!$B$9+Inputs!$B$10*(1+Inputs!$B$15)^28+Inputs!$B$11*12*(1+Inputs!$B$15)^28+D38*Inputs!$B$12</f>
        <v>48907.1511807708</v>
      </c>
      <c r="E103" s="34" t="n">
        <f aca="false">IF(29&gt;Inputs!$B$7,0,(-PMT(Inputs!$B$6/12,Inputs!$B$7*12,(Inputs!$B$4*(1-Inputs!$B$5)))*12))+E38*Inputs!$B$9+Inputs!$B$10*(1+Inputs!$B$15)^28+Inputs!$B$11*12*(1+Inputs!$B$15)^28+E38*Inputs!$B$12</f>
        <v>53835.3530353529</v>
      </c>
      <c r="F103" s="34" t="n">
        <f aca="false">IF(29&gt;Inputs!$B$7,0,(-PMT(Inputs!$B$6/12,Inputs!$B$7*12,(Inputs!$B$4*(1-Inputs!$B$5)))*12))+F38*Inputs!$B$9+Inputs!$B$10*(1+Inputs!$B$15)^28+Inputs!$B$11*12*(1+Inputs!$B$15)^28+F38*Inputs!$B$12</f>
        <v>60240.2234360002</v>
      </c>
      <c r="G103" s="34" t="n">
        <f aca="false">IF(29&gt;Inputs!$B$7,0,(-PMT(Inputs!$B$6/12,Inputs!$B$7*12,(Inputs!$B$4*(1-Inputs!$B$5)))*12))+G38*Inputs!$B$9+Inputs!$B$10*(1+Inputs!$B$15)^28+Inputs!$B$11*12*(1+Inputs!$B$15)^28+G38*Inputs!$B$12</f>
        <v>68543.2836360817</v>
      </c>
      <c r="H103" s="34" t="n">
        <f aca="false">IF(29&gt;Inputs!$B$7,0,(-PMT(Inputs!$B$6/12,Inputs!$B$7*12,(Inputs!$B$4*(1-Inputs!$B$5)))*12))+H38*Inputs!$B$9+Inputs!$B$10*(1+Inputs!$B$15)^28+Inputs!$B$11*12*(1+Inputs!$B$15)^28+H38*Inputs!$B$12</f>
        <v>79280.5279531693</v>
      </c>
    </row>
    <row r="104" customFormat="false" ht="15" hidden="true" customHeight="true" outlineLevel="0" collapsed="false">
      <c r="B104" s="34" t="n">
        <f aca="false">IF(30&gt;Inputs!$B$7,0,(-PMT(Inputs!$B$6/12,Inputs!$B$7*12,(Inputs!$B$4*(1-Inputs!$B$5)))*12))+B39*Inputs!$B$9+Inputs!$B$10*(1+Inputs!$B$15)^29+Inputs!$B$11*12*(1+Inputs!$B$15)^29+B39*Inputs!$B$12</f>
        <v>42380.7111831155</v>
      </c>
      <c r="C104" s="34" t="n">
        <f aca="false">IF(30&gt;Inputs!$B$7,0,(-PMT(Inputs!$B$6/12,Inputs!$B$7*12,(Inputs!$B$4*(1-Inputs!$B$5)))*12))+C39*Inputs!$B$9+Inputs!$B$10*(1+Inputs!$B$15)^29+Inputs!$B$11*12*(1+Inputs!$B$15)^29+C39*Inputs!$B$12</f>
        <v>45394.9590652505</v>
      </c>
      <c r="D104" s="34" t="n">
        <f aca="false">IF(30&gt;Inputs!$B$7,0,(-PMT(Inputs!$B$6/12,Inputs!$B$7*12,(Inputs!$B$4*(1-Inputs!$B$5)))*12))+D39*Inputs!$B$9+Inputs!$B$10*(1+Inputs!$B$15)^29+Inputs!$B$11*12*(1+Inputs!$B$15)^29+D39*Inputs!$B$12</f>
        <v>49371.9252718545</v>
      </c>
      <c r="E104" s="34" t="n">
        <f aca="false">IF(30&gt;Inputs!$B$7,0,(-PMT(Inputs!$B$6/12,Inputs!$B$7*12,(Inputs!$B$4*(1-Inputs!$B$5)))*12))+E39*Inputs!$B$9+Inputs!$B$10*(1+Inputs!$B$15)^29+Inputs!$B$11*12*(1+Inputs!$B$15)^29+E39*Inputs!$B$12</f>
        <v>54604.8586143167</v>
      </c>
      <c r="F104" s="34" t="n">
        <f aca="false">IF(30&gt;Inputs!$B$7,0,(-PMT(Inputs!$B$6/12,Inputs!$B$7*12,(Inputs!$B$4*(1-Inputs!$B$5)))*12))+F39*Inputs!$B$9+Inputs!$B$10*(1+Inputs!$B$15)^29+Inputs!$B$11*12*(1+Inputs!$B$15)^29+F39*Inputs!$B$12</f>
        <v>61472.0912817782</v>
      </c>
      <c r="G104" s="34" t="n">
        <f aca="false">IF(30&gt;Inputs!$B$7,0,(-PMT(Inputs!$B$6/12,Inputs!$B$7*12,(Inputs!$B$4*(1-Inputs!$B$5)))*12))+G39*Inputs!$B$9+Inputs!$B$10*(1+Inputs!$B$15)^29+Inputs!$B$11*12*(1+Inputs!$B$15)^29+G39*Inputs!$B$12</f>
        <v>70460.5206466586</v>
      </c>
      <c r="H104" s="34" t="n">
        <f aca="false">IF(30&gt;Inputs!$B$7,0,(-PMT(Inputs!$B$6/12,Inputs!$B$7*12,(Inputs!$B$4*(1-Inputs!$B$5)))*12))+H39*Inputs!$B$9+Inputs!$B$10*(1+Inputs!$B$15)^29+Inputs!$B$11*12*(1+Inputs!$B$15)^29+H39*Inputs!$B$12</f>
        <v>82195.2463795671</v>
      </c>
    </row>
    <row r="105" customFormat="false" ht="15" hidden="true" customHeight="true" outlineLevel="0" collapsed="false"/>
    <row r="106" customFormat="false" ht="15" hidden="true" customHeight="true" outlineLevel="0" collapsed="false">
      <c r="A106" s="33" t="s">
        <v>94</v>
      </c>
      <c r="B106" s="34" t="n">
        <v>0</v>
      </c>
      <c r="C106" s="34" t="n">
        <v>0</v>
      </c>
      <c r="D106" s="34" t="n">
        <v>0</v>
      </c>
      <c r="E106" s="34" t="n">
        <v>0</v>
      </c>
      <c r="F106" s="34" t="n">
        <v>0</v>
      </c>
      <c r="G106" s="34" t="n">
        <v>0</v>
      </c>
      <c r="H106" s="34" t="n">
        <v>0</v>
      </c>
    </row>
    <row r="107" customFormat="false" ht="15" hidden="true" customHeight="true" outlineLevel="0" collapsed="false">
      <c r="B107" s="34" t="n">
        <f aca="false">Inputs!$B$18*12*(1+Inputs!$B$19)^0+Inputs!$B$20*(1+Inputs!$B$15)^0</f>
        <v>27718</v>
      </c>
      <c r="C107" s="34" t="n">
        <f aca="false">Inputs!$B$18*12*(1+Inputs!$B$19)^0+Inputs!$B$20*(1+Inputs!$B$15)^0</f>
        <v>27718</v>
      </c>
      <c r="D107" s="34" t="n">
        <f aca="false">Inputs!$B$18*12*(1+Inputs!$B$19)^0+Inputs!$B$20*(1+Inputs!$B$15)^0</f>
        <v>27718</v>
      </c>
      <c r="E107" s="34" t="n">
        <f aca="false">Inputs!$B$18*12*(1+Inputs!$B$19)^0+Inputs!$B$20*(1+Inputs!$B$15)^0</f>
        <v>27718</v>
      </c>
      <c r="F107" s="34" t="n">
        <f aca="false">Inputs!$B$18*12*(1+Inputs!$B$19)^0+Inputs!$B$20*(1+Inputs!$B$15)^0</f>
        <v>27718</v>
      </c>
      <c r="G107" s="34" t="n">
        <f aca="false">Inputs!$B$18*12*(1+Inputs!$B$19)^0+Inputs!$B$20*(1+Inputs!$B$15)^0</f>
        <v>27718</v>
      </c>
      <c r="H107" s="34" t="n">
        <f aca="false">Inputs!$B$18*12*(1+Inputs!$B$19)^0+Inputs!$B$20*(1+Inputs!$B$15)^0</f>
        <v>27718</v>
      </c>
    </row>
    <row r="108" customFormat="false" ht="15" hidden="true" customHeight="true" outlineLevel="0" collapsed="false">
      <c r="B108" s="34" t="n">
        <f aca="false">Inputs!$B$18*12*(1+Inputs!$B$19)^1+Inputs!$B$20*(1+Inputs!$B$15)^1</f>
        <v>28549.54</v>
      </c>
      <c r="C108" s="34" t="n">
        <f aca="false">Inputs!$B$18*12*(1+Inputs!$B$19)^1+Inputs!$B$20*(1+Inputs!$B$15)^1</f>
        <v>28549.54</v>
      </c>
      <c r="D108" s="34" t="n">
        <f aca="false">Inputs!$B$18*12*(1+Inputs!$B$19)^1+Inputs!$B$20*(1+Inputs!$B$15)^1</f>
        <v>28549.54</v>
      </c>
      <c r="E108" s="34" t="n">
        <f aca="false">Inputs!$B$18*12*(1+Inputs!$B$19)^1+Inputs!$B$20*(1+Inputs!$B$15)^1</f>
        <v>28549.54</v>
      </c>
      <c r="F108" s="34" t="n">
        <f aca="false">Inputs!$B$18*12*(1+Inputs!$B$19)^1+Inputs!$B$20*(1+Inputs!$B$15)^1</f>
        <v>28549.54</v>
      </c>
      <c r="G108" s="34" t="n">
        <f aca="false">Inputs!$B$18*12*(1+Inputs!$B$19)^1+Inputs!$B$20*(1+Inputs!$B$15)^1</f>
        <v>28549.54</v>
      </c>
      <c r="H108" s="34" t="n">
        <f aca="false">Inputs!$B$18*12*(1+Inputs!$B$19)^1+Inputs!$B$20*(1+Inputs!$B$15)^1</f>
        <v>28549.54</v>
      </c>
    </row>
    <row r="109" customFormat="false" ht="15" hidden="true" customHeight="true" outlineLevel="0" collapsed="false">
      <c r="B109" s="34" t="n">
        <f aca="false">Inputs!$B$18*12*(1+Inputs!$B$19)^2+Inputs!$B$20*(1+Inputs!$B$15)^2</f>
        <v>29406.0262</v>
      </c>
      <c r="C109" s="34" t="n">
        <f aca="false">Inputs!$B$18*12*(1+Inputs!$B$19)^2+Inputs!$B$20*(1+Inputs!$B$15)^2</f>
        <v>29406.0262</v>
      </c>
      <c r="D109" s="34" t="n">
        <f aca="false">Inputs!$B$18*12*(1+Inputs!$B$19)^2+Inputs!$B$20*(1+Inputs!$B$15)^2</f>
        <v>29406.0262</v>
      </c>
      <c r="E109" s="34" t="n">
        <f aca="false">Inputs!$B$18*12*(1+Inputs!$B$19)^2+Inputs!$B$20*(1+Inputs!$B$15)^2</f>
        <v>29406.0262</v>
      </c>
      <c r="F109" s="34" t="n">
        <f aca="false">Inputs!$B$18*12*(1+Inputs!$B$19)^2+Inputs!$B$20*(1+Inputs!$B$15)^2</f>
        <v>29406.0262</v>
      </c>
      <c r="G109" s="34" t="n">
        <f aca="false">Inputs!$B$18*12*(1+Inputs!$B$19)^2+Inputs!$B$20*(1+Inputs!$B$15)^2</f>
        <v>29406.0262</v>
      </c>
      <c r="H109" s="34" t="n">
        <f aca="false">Inputs!$B$18*12*(1+Inputs!$B$19)^2+Inputs!$B$20*(1+Inputs!$B$15)^2</f>
        <v>29406.0262</v>
      </c>
    </row>
    <row r="110" customFormat="false" ht="15" hidden="true" customHeight="true" outlineLevel="0" collapsed="false">
      <c r="B110" s="34" t="n">
        <f aca="false">Inputs!$B$18*12*(1+Inputs!$B$19)^3+Inputs!$B$20*(1+Inputs!$B$15)^3</f>
        <v>30288.206986</v>
      </c>
      <c r="C110" s="34" t="n">
        <f aca="false">Inputs!$B$18*12*(1+Inputs!$B$19)^3+Inputs!$B$20*(1+Inputs!$B$15)^3</f>
        <v>30288.206986</v>
      </c>
      <c r="D110" s="34" t="n">
        <f aca="false">Inputs!$B$18*12*(1+Inputs!$B$19)^3+Inputs!$B$20*(1+Inputs!$B$15)^3</f>
        <v>30288.206986</v>
      </c>
      <c r="E110" s="34" t="n">
        <f aca="false">Inputs!$B$18*12*(1+Inputs!$B$19)^3+Inputs!$B$20*(1+Inputs!$B$15)^3</f>
        <v>30288.206986</v>
      </c>
      <c r="F110" s="34" t="n">
        <f aca="false">Inputs!$B$18*12*(1+Inputs!$B$19)^3+Inputs!$B$20*(1+Inputs!$B$15)^3</f>
        <v>30288.206986</v>
      </c>
      <c r="G110" s="34" t="n">
        <f aca="false">Inputs!$B$18*12*(1+Inputs!$B$19)^3+Inputs!$B$20*(1+Inputs!$B$15)^3</f>
        <v>30288.206986</v>
      </c>
      <c r="H110" s="34" t="n">
        <f aca="false">Inputs!$B$18*12*(1+Inputs!$B$19)^3+Inputs!$B$20*(1+Inputs!$B$15)^3</f>
        <v>30288.206986</v>
      </c>
    </row>
    <row r="111" customFormat="false" ht="15" hidden="true" customHeight="true" outlineLevel="0" collapsed="false">
      <c r="B111" s="34" t="n">
        <f aca="false">Inputs!$B$18*12*(1+Inputs!$B$19)^4+Inputs!$B$20*(1+Inputs!$B$15)^4</f>
        <v>31196.85319558</v>
      </c>
      <c r="C111" s="34" t="n">
        <f aca="false">Inputs!$B$18*12*(1+Inputs!$B$19)^4+Inputs!$B$20*(1+Inputs!$B$15)^4</f>
        <v>31196.85319558</v>
      </c>
      <c r="D111" s="34" t="n">
        <f aca="false">Inputs!$B$18*12*(1+Inputs!$B$19)^4+Inputs!$B$20*(1+Inputs!$B$15)^4</f>
        <v>31196.85319558</v>
      </c>
      <c r="E111" s="34" t="n">
        <f aca="false">Inputs!$B$18*12*(1+Inputs!$B$19)^4+Inputs!$B$20*(1+Inputs!$B$15)^4</f>
        <v>31196.85319558</v>
      </c>
      <c r="F111" s="34" t="n">
        <f aca="false">Inputs!$B$18*12*(1+Inputs!$B$19)^4+Inputs!$B$20*(1+Inputs!$B$15)^4</f>
        <v>31196.85319558</v>
      </c>
      <c r="G111" s="34" t="n">
        <f aca="false">Inputs!$B$18*12*(1+Inputs!$B$19)^4+Inputs!$B$20*(1+Inputs!$B$15)^4</f>
        <v>31196.85319558</v>
      </c>
      <c r="H111" s="34" t="n">
        <f aca="false">Inputs!$B$18*12*(1+Inputs!$B$19)^4+Inputs!$B$20*(1+Inputs!$B$15)^4</f>
        <v>31196.85319558</v>
      </c>
    </row>
    <row r="112" customFormat="false" ht="15" hidden="true" customHeight="true" outlineLevel="0" collapsed="false">
      <c r="B112" s="34" t="n">
        <f aca="false">Inputs!$B$18*12*(1+Inputs!$B$19)^5+Inputs!$B$20*(1+Inputs!$B$15)^5</f>
        <v>32132.7587914474</v>
      </c>
      <c r="C112" s="34" t="n">
        <f aca="false">Inputs!$B$18*12*(1+Inputs!$B$19)^5+Inputs!$B$20*(1+Inputs!$B$15)^5</f>
        <v>32132.7587914474</v>
      </c>
      <c r="D112" s="34" t="n">
        <f aca="false">Inputs!$B$18*12*(1+Inputs!$B$19)^5+Inputs!$B$20*(1+Inputs!$B$15)^5</f>
        <v>32132.7587914474</v>
      </c>
      <c r="E112" s="34" t="n">
        <f aca="false">Inputs!$B$18*12*(1+Inputs!$B$19)^5+Inputs!$B$20*(1+Inputs!$B$15)^5</f>
        <v>32132.7587914474</v>
      </c>
      <c r="F112" s="34" t="n">
        <f aca="false">Inputs!$B$18*12*(1+Inputs!$B$19)^5+Inputs!$B$20*(1+Inputs!$B$15)^5</f>
        <v>32132.7587914474</v>
      </c>
      <c r="G112" s="34" t="n">
        <f aca="false">Inputs!$B$18*12*(1+Inputs!$B$19)^5+Inputs!$B$20*(1+Inputs!$B$15)^5</f>
        <v>32132.7587914474</v>
      </c>
      <c r="H112" s="34" t="n">
        <f aca="false">Inputs!$B$18*12*(1+Inputs!$B$19)^5+Inputs!$B$20*(1+Inputs!$B$15)^5</f>
        <v>32132.7587914474</v>
      </c>
    </row>
    <row r="113" customFormat="false" ht="15" hidden="true" customHeight="true" outlineLevel="0" collapsed="false">
      <c r="B113" s="34" t="n">
        <f aca="false">Inputs!$B$18*12*(1+Inputs!$B$19)^6+Inputs!$B$20*(1+Inputs!$B$15)^6</f>
        <v>33096.7415551908</v>
      </c>
      <c r="C113" s="34" t="n">
        <f aca="false">Inputs!$B$18*12*(1+Inputs!$B$19)^6+Inputs!$B$20*(1+Inputs!$B$15)^6</f>
        <v>33096.7415551908</v>
      </c>
      <c r="D113" s="34" t="n">
        <f aca="false">Inputs!$B$18*12*(1+Inputs!$B$19)^6+Inputs!$B$20*(1+Inputs!$B$15)^6</f>
        <v>33096.7415551908</v>
      </c>
      <c r="E113" s="34" t="n">
        <f aca="false">Inputs!$B$18*12*(1+Inputs!$B$19)^6+Inputs!$B$20*(1+Inputs!$B$15)^6</f>
        <v>33096.7415551908</v>
      </c>
      <c r="F113" s="34" t="n">
        <f aca="false">Inputs!$B$18*12*(1+Inputs!$B$19)^6+Inputs!$B$20*(1+Inputs!$B$15)^6</f>
        <v>33096.7415551908</v>
      </c>
      <c r="G113" s="34" t="n">
        <f aca="false">Inputs!$B$18*12*(1+Inputs!$B$19)^6+Inputs!$B$20*(1+Inputs!$B$15)^6</f>
        <v>33096.7415551908</v>
      </c>
      <c r="H113" s="34" t="n">
        <f aca="false">Inputs!$B$18*12*(1+Inputs!$B$19)^6+Inputs!$B$20*(1+Inputs!$B$15)^6</f>
        <v>33096.7415551908</v>
      </c>
    </row>
    <row r="114" customFormat="false" ht="15" hidden="true" customHeight="true" outlineLevel="0" collapsed="false">
      <c r="B114" s="34" t="n">
        <f aca="false">Inputs!$B$18*12*(1+Inputs!$B$19)^7+Inputs!$B$20*(1+Inputs!$B$15)^7</f>
        <v>34089.6438018466</v>
      </c>
      <c r="C114" s="34" t="n">
        <f aca="false">Inputs!$B$18*12*(1+Inputs!$B$19)^7+Inputs!$B$20*(1+Inputs!$B$15)^7</f>
        <v>34089.6438018466</v>
      </c>
      <c r="D114" s="34" t="n">
        <f aca="false">Inputs!$B$18*12*(1+Inputs!$B$19)^7+Inputs!$B$20*(1+Inputs!$B$15)^7</f>
        <v>34089.6438018466</v>
      </c>
      <c r="E114" s="34" t="n">
        <f aca="false">Inputs!$B$18*12*(1+Inputs!$B$19)^7+Inputs!$B$20*(1+Inputs!$B$15)^7</f>
        <v>34089.6438018466</v>
      </c>
      <c r="F114" s="34" t="n">
        <f aca="false">Inputs!$B$18*12*(1+Inputs!$B$19)^7+Inputs!$B$20*(1+Inputs!$B$15)^7</f>
        <v>34089.6438018466</v>
      </c>
      <c r="G114" s="34" t="n">
        <f aca="false">Inputs!$B$18*12*(1+Inputs!$B$19)^7+Inputs!$B$20*(1+Inputs!$B$15)^7</f>
        <v>34089.6438018466</v>
      </c>
      <c r="H114" s="34" t="n">
        <f aca="false">Inputs!$B$18*12*(1+Inputs!$B$19)^7+Inputs!$B$20*(1+Inputs!$B$15)^7</f>
        <v>34089.6438018466</v>
      </c>
    </row>
    <row r="115" customFormat="false" ht="15" hidden="true" customHeight="true" outlineLevel="0" collapsed="false">
      <c r="B115" s="34" t="n">
        <f aca="false">Inputs!$B$18*12*(1+Inputs!$B$19)^8+Inputs!$B$20*(1+Inputs!$B$15)^8</f>
        <v>35112.333115902</v>
      </c>
      <c r="C115" s="34" t="n">
        <f aca="false">Inputs!$B$18*12*(1+Inputs!$B$19)^8+Inputs!$B$20*(1+Inputs!$B$15)^8</f>
        <v>35112.333115902</v>
      </c>
      <c r="D115" s="34" t="n">
        <f aca="false">Inputs!$B$18*12*(1+Inputs!$B$19)^8+Inputs!$B$20*(1+Inputs!$B$15)^8</f>
        <v>35112.333115902</v>
      </c>
      <c r="E115" s="34" t="n">
        <f aca="false">Inputs!$B$18*12*(1+Inputs!$B$19)^8+Inputs!$B$20*(1+Inputs!$B$15)^8</f>
        <v>35112.333115902</v>
      </c>
      <c r="F115" s="34" t="n">
        <f aca="false">Inputs!$B$18*12*(1+Inputs!$B$19)^8+Inputs!$B$20*(1+Inputs!$B$15)^8</f>
        <v>35112.333115902</v>
      </c>
      <c r="G115" s="34" t="n">
        <f aca="false">Inputs!$B$18*12*(1+Inputs!$B$19)^8+Inputs!$B$20*(1+Inputs!$B$15)^8</f>
        <v>35112.333115902</v>
      </c>
      <c r="H115" s="34" t="n">
        <f aca="false">Inputs!$B$18*12*(1+Inputs!$B$19)^8+Inputs!$B$20*(1+Inputs!$B$15)^8</f>
        <v>35112.333115902</v>
      </c>
    </row>
    <row r="116" customFormat="false" ht="15" hidden="true" customHeight="true" outlineLevel="0" collapsed="false">
      <c r="B116" s="34" t="n">
        <f aca="false">Inputs!$B$18*12*(1+Inputs!$B$19)^9+Inputs!$B$20*(1+Inputs!$B$15)^9</f>
        <v>36165.703109379</v>
      </c>
      <c r="C116" s="34" t="n">
        <f aca="false">Inputs!$B$18*12*(1+Inputs!$B$19)^9+Inputs!$B$20*(1+Inputs!$B$15)^9</f>
        <v>36165.703109379</v>
      </c>
      <c r="D116" s="34" t="n">
        <f aca="false">Inputs!$B$18*12*(1+Inputs!$B$19)^9+Inputs!$B$20*(1+Inputs!$B$15)^9</f>
        <v>36165.703109379</v>
      </c>
      <c r="E116" s="34" t="n">
        <f aca="false">Inputs!$B$18*12*(1+Inputs!$B$19)^9+Inputs!$B$20*(1+Inputs!$B$15)^9</f>
        <v>36165.703109379</v>
      </c>
      <c r="F116" s="34" t="n">
        <f aca="false">Inputs!$B$18*12*(1+Inputs!$B$19)^9+Inputs!$B$20*(1+Inputs!$B$15)^9</f>
        <v>36165.703109379</v>
      </c>
      <c r="G116" s="34" t="n">
        <f aca="false">Inputs!$B$18*12*(1+Inputs!$B$19)^9+Inputs!$B$20*(1+Inputs!$B$15)^9</f>
        <v>36165.703109379</v>
      </c>
      <c r="H116" s="34" t="n">
        <f aca="false">Inputs!$B$18*12*(1+Inputs!$B$19)^9+Inputs!$B$20*(1+Inputs!$B$15)^9</f>
        <v>36165.703109379</v>
      </c>
    </row>
    <row r="117" customFormat="false" ht="15" hidden="true" customHeight="true" outlineLevel="0" collapsed="false">
      <c r="B117" s="34" t="n">
        <f aca="false">Inputs!$B$18*12*(1+Inputs!$B$19)^10+Inputs!$B$20*(1+Inputs!$B$15)^10</f>
        <v>37250.6742026604</v>
      </c>
      <c r="C117" s="34" t="n">
        <f aca="false">Inputs!$B$18*12*(1+Inputs!$B$19)^10+Inputs!$B$20*(1+Inputs!$B$15)^10</f>
        <v>37250.6742026604</v>
      </c>
      <c r="D117" s="34" t="n">
        <f aca="false">Inputs!$B$18*12*(1+Inputs!$B$19)^10+Inputs!$B$20*(1+Inputs!$B$15)^10</f>
        <v>37250.6742026604</v>
      </c>
      <c r="E117" s="34" t="n">
        <f aca="false">Inputs!$B$18*12*(1+Inputs!$B$19)^10+Inputs!$B$20*(1+Inputs!$B$15)^10</f>
        <v>37250.6742026604</v>
      </c>
      <c r="F117" s="34" t="n">
        <f aca="false">Inputs!$B$18*12*(1+Inputs!$B$19)^10+Inputs!$B$20*(1+Inputs!$B$15)^10</f>
        <v>37250.6742026604</v>
      </c>
      <c r="G117" s="34" t="n">
        <f aca="false">Inputs!$B$18*12*(1+Inputs!$B$19)^10+Inputs!$B$20*(1+Inputs!$B$15)^10</f>
        <v>37250.6742026604</v>
      </c>
      <c r="H117" s="34" t="n">
        <f aca="false">Inputs!$B$18*12*(1+Inputs!$B$19)^10+Inputs!$B$20*(1+Inputs!$B$15)^10</f>
        <v>37250.6742026604</v>
      </c>
    </row>
    <row r="118" customFormat="false" ht="15" hidden="true" customHeight="true" outlineLevel="0" collapsed="false">
      <c r="B118" s="34" t="n">
        <f aca="false">Inputs!$B$18*12*(1+Inputs!$B$19)^11+Inputs!$B$20*(1+Inputs!$B$15)^11</f>
        <v>38368.1944287402</v>
      </c>
      <c r="C118" s="34" t="n">
        <f aca="false">Inputs!$B$18*12*(1+Inputs!$B$19)^11+Inputs!$B$20*(1+Inputs!$B$15)^11</f>
        <v>38368.1944287402</v>
      </c>
      <c r="D118" s="34" t="n">
        <f aca="false">Inputs!$B$18*12*(1+Inputs!$B$19)^11+Inputs!$B$20*(1+Inputs!$B$15)^11</f>
        <v>38368.1944287402</v>
      </c>
      <c r="E118" s="34" t="n">
        <f aca="false">Inputs!$B$18*12*(1+Inputs!$B$19)^11+Inputs!$B$20*(1+Inputs!$B$15)^11</f>
        <v>38368.1944287402</v>
      </c>
      <c r="F118" s="34" t="n">
        <f aca="false">Inputs!$B$18*12*(1+Inputs!$B$19)^11+Inputs!$B$20*(1+Inputs!$B$15)^11</f>
        <v>38368.1944287402</v>
      </c>
      <c r="G118" s="34" t="n">
        <f aca="false">Inputs!$B$18*12*(1+Inputs!$B$19)^11+Inputs!$B$20*(1+Inputs!$B$15)^11</f>
        <v>38368.1944287402</v>
      </c>
      <c r="H118" s="34" t="n">
        <f aca="false">Inputs!$B$18*12*(1+Inputs!$B$19)^11+Inputs!$B$20*(1+Inputs!$B$15)^11</f>
        <v>38368.1944287402</v>
      </c>
    </row>
    <row r="119" customFormat="false" ht="15" hidden="true" customHeight="true" outlineLevel="0" collapsed="false">
      <c r="B119" s="34" t="n">
        <f aca="false">Inputs!$B$18*12*(1+Inputs!$B$19)^12+Inputs!$B$20*(1+Inputs!$B$15)^12</f>
        <v>39519.2402616024</v>
      </c>
      <c r="C119" s="34" t="n">
        <f aca="false">Inputs!$B$18*12*(1+Inputs!$B$19)^12+Inputs!$B$20*(1+Inputs!$B$15)^12</f>
        <v>39519.2402616024</v>
      </c>
      <c r="D119" s="34" t="n">
        <f aca="false">Inputs!$B$18*12*(1+Inputs!$B$19)^12+Inputs!$B$20*(1+Inputs!$B$15)^12</f>
        <v>39519.2402616024</v>
      </c>
      <c r="E119" s="34" t="n">
        <f aca="false">Inputs!$B$18*12*(1+Inputs!$B$19)^12+Inputs!$B$20*(1+Inputs!$B$15)^12</f>
        <v>39519.2402616024</v>
      </c>
      <c r="F119" s="34" t="n">
        <f aca="false">Inputs!$B$18*12*(1+Inputs!$B$19)^12+Inputs!$B$20*(1+Inputs!$B$15)^12</f>
        <v>39519.2402616024</v>
      </c>
      <c r="G119" s="34" t="n">
        <f aca="false">Inputs!$B$18*12*(1+Inputs!$B$19)^12+Inputs!$B$20*(1+Inputs!$B$15)^12</f>
        <v>39519.2402616024</v>
      </c>
      <c r="H119" s="34" t="n">
        <f aca="false">Inputs!$B$18*12*(1+Inputs!$B$19)^12+Inputs!$B$20*(1+Inputs!$B$15)^12</f>
        <v>39519.2402616024</v>
      </c>
    </row>
    <row r="120" customFormat="false" ht="15" hidden="true" customHeight="true" outlineLevel="0" collapsed="false">
      <c r="B120" s="34" t="n">
        <f aca="false">Inputs!$B$18*12*(1+Inputs!$B$19)^13+Inputs!$B$20*(1+Inputs!$B$15)^13</f>
        <v>40704.8174694505</v>
      </c>
      <c r="C120" s="34" t="n">
        <f aca="false">Inputs!$B$18*12*(1+Inputs!$B$19)^13+Inputs!$B$20*(1+Inputs!$B$15)^13</f>
        <v>40704.8174694505</v>
      </c>
      <c r="D120" s="34" t="n">
        <f aca="false">Inputs!$B$18*12*(1+Inputs!$B$19)^13+Inputs!$B$20*(1+Inputs!$B$15)^13</f>
        <v>40704.8174694505</v>
      </c>
      <c r="E120" s="34" t="n">
        <f aca="false">Inputs!$B$18*12*(1+Inputs!$B$19)^13+Inputs!$B$20*(1+Inputs!$B$15)^13</f>
        <v>40704.8174694505</v>
      </c>
      <c r="F120" s="34" t="n">
        <f aca="false">Inputs!$B$18*12*(1+Inputs!$B$19)^13+Inputs!$B$20*(1+Inputs!$B$15)^13</f>
        <v>40704.8174694505</v>
      </c>
      <c r="G120" s="34" t="n">
        <f aca="false">Inputs!$B$18*12*(1+Inputs!$B$19)^13+Inputs!$B$20*(1+Inputs!$B$15)^13</f>
        <v>40704.8174694505</v>
      </c>
      <c r="H120" s="34" t="n">
        <f aca="false">Inputs!$B$18*12*(1+Inputs!$B$19)^13+Inputs!$B$20*(1+Inputs!$B$15)^13</f>
        <v>40704.8174694505</v>
      </c>
    </row>
    <row r="121" customFormat="false" ht="15" hidden="true" customHeight="true" outlineLevel="0" collapsed="false">
      <c r="B121" s="34" t="n">
        <f aca="false">Inputs!$B$18*12*(1+Inputs!$B$19)^14+Inputs!$B$20*(1+Inputs!$B$15)^14</f>
        <v>41925.961993534</v>
      </c>
      <c r="C121" s="34" t="n">
        <f aca="false">Inputs!$B$18*12*(1+Inputs!$B$19)^14+Inputs!$B$20*(1+Inputs!$B$15)^14</f>
        <v>41925.961993534</v>
      </c>
      <c r="D121" s="34" t="n">
        <f aca="false">Inputs!$B$18*12*(1+Inputs!$B$19)^14+Inputs!$B$20*(1+Inputs!$B$15)^14</f>
        <v>41925.961993534</v>
      </c>
      <c r="E121" s="34" t="n">
        <f aca="false">Inputs!$B$18*12*(1+Inputs!$B$19)^14+Inputs!$B$20*(1+Inputs!$B$15)^14</f>
        <v>41925.961993534</v>
      </c>
      <c r="F121" s="34" t="n">
        <f aca="false">Inputs!$B$18*12*(1+Inputs!$B$19)^14+Inputs!$B$20*(1+Inputs!$B$15)^14</f>
        <v>41925.961993534</v>
      </c>
      <c r="G121" s="34" t="n">
        <f aca="false">Inputs!$B$18*12*(1+Inputs!$B$19)^14+Inputs!$B$20*(1+Inputs!$B$15)^14</f>
        <v>41925.961993534</v>
      </c>
      <c r="H121" s="34" t="n">
        <f aca="false">Inputs!$B$18*12*(1+Inputs!$B$19)^14+Inputs!$B$20*(1+Inputs!$B$15)^14</f>
        <v>41925.961993534</v>
      </c>
    </row>
    <row r="122" customFormat="false" ht="15" hidden="true" customHeight="true" outlineLevel="0" collapsed="false">
      <c r="B122" s="34" t="n">
        <f aca="false">Inputs!$B$18*12*(1+Inputs!$B$19)^15+Inputs!$B$20*(1+Inputs!$B$15)^15</f>
        <v>43183.74085334</v>
      </c>
      <c r="C122" s="34" t="n">
        <f aca="false">Inputs!$B$18*12*(1+Inputs!$B$19)^15+Inputs!$B$20*(1+Inputs!$B$15)^15</f>
        <v>43183.74085334</v>
      </c>
      <c r="D122" s="34" t="n">
        <f aca="false">Inputs!$B$18*12*(1+Inputs!$B$19)^15+Inputs!$B$20*(1+Inputs!$B$15)^15</f>
        <v>43183.74085334</v>
      </c>
      <c r="E122" s="34" t="n">
        <f aca="false">Inputs!$B$18*12*(1+Inputs!$B$19)^15+Inputs!$B$20*(1+Inputs!$B$15)^15</f>
        <v>43183.74085334</v>
      </c>
      <c r="F122" s="34" t="n">
        <f aca="false">Inputs!$B$18*12*(1+Inputs!$B$19)^15+Inputs!$B$20*(1+Inputs!$B$15)^15</f>
        <v>43183.74085334</v>
      </c>
      <c r="G122" s="34" t="n">
        <f aca="false">Inputs!$B$18*12*(1+Inputs!$B$19)^15+Inputs!$B$20*(1+Inputs!$B$15)^15</f>
        <v>43183.74085334</v>
      </c>
      <c r="H122" s="34" t="n">
        <f aca="false">Inputs!$B$18*12*(1+Inputs!$B$19)^15+Inputs!$B$20*(1+Inputs!$B$15)^15</f>
        <v>43183.74085334</v>
      </c>
    </row>
    <row r="123" customFormat="false" ht="15" hidden="true" customHeight="true" outlineLevel="0" collapsed="false">
      <c r="B123" s="34" t="n">
        <f aca="false">Inputs!$B$18*12*(1+Inputs!$B$19)^16+Inputs!$B$20*(1+Inputs!$B$15)^16</f>
        <v>44479.2530789402</v>
      </c>
      <c r="C123" s="34" t="n">
        <f aca="false">Inputs!$B$18*12*(1+Inputs!$B$19)^16+Inputs!$B$20*(1+Inputs!$B$15)^16</f>
        <v>44479.2530789402</v>
      </c>
      <c r="D123" s="34" t="n">
        <f aca="false">Inputs!$B$18*12*(1+Inputs!$B$19)^16+Inputs!$B$20*(1+Inputs!$B$15)^16</f>
        <v>44479.2530789402</v>
      </c>
      <c r="E123" s="34" t="n">
        <f aca="false">Inputs!$B$18*12*(1+Inputs!$B$19)^16+Inputs!$B$20*(1+Inputs!$B$15)^16</f>
        <v>44479.2530789402</v>
      </c>
      <c r="F123" s="34" t="n">
        <f aca="false">Inputs!$B$18*12*(1+Inputs!$B$19)^16+Inputs!$B$20*(1+Inputs!$B$15)^16</f>
        <v>44479.2530789402</v>
      </c>
      <c r="G123" s="34" t="n">
        <f aca="false">Inputs!$B$18*12*(1+Inputs!$B$19)^16+Inputs!$B$20*(1+Inputs!$B$15)^16</f>
        <v>44479.2530789402</v>
      </c>
      <c r="H123" s="34" t="n">
        <f aca="false">Inputs!$B$18*12*(1+Inputs!$B$19)^16+Inputs!$B$20*(1+Inputs!$B$15)^16</f>
        <v>44479.2530789402</v>
      </c>
    </row>
    <row r="124" customFormat="false" ht="15" hidden="true" customHeight="true" outlineLevel="0" collapsed="false">
      <c r="B124" s="34" t="n">
        <f aca="false">Inputs!$B$18*12*(1+Inputs!$B$19)^17+Inputs!$B$20*(1+Inputs!$B$15)^17</f>
        <v>45813.6306713084</v>
      </c>
      <c r="C124" s="34" t="n">
        <f aca="false">Inputs!$B$18*12*(1+Inputs!$B$19)^17+Inputs!$B$20*(1+Inputs!$B$15)^17</f>
        <v>45813.6306713084</v>
      </c>
      <c r="D124" s="34" t="n">
        <f aca="false">Inputs!$B$18*12*(1+Inputs!$B$19)^17+Inputs!$B$20*(1+Inputs!$B$15)^17</f>
        <v>45813.6306713084</v>
      </c>
      <c r="E124" s="34" t="n">
        <f aca="false">Inputs!$B$18*12*(1+Inputs!$B$19)^17+Inputs!$B$20*(1+Inputs!$B$15)^17</f>
        <v>45813.6306713084</v>
      </c>
      <c r="F124" s="34" t="n">
        <f aca="false">Inputs!$B$18*12*(1+Inputs!$B$19)^17+Inputs!$B$20*(1+Inputs!$B$15)^17</f>
        <v>45813.6306713084</v>
      </c>
      <c r="G124" s="34" t="n">
        <f aca="false">Inputs!$B$18*12*(1+Inputs!$B$19)^17+Inputs!$B$20*(1+Inputs!$B$15)^17</f>
        <v>45813.6306713084</v>
      </c>
      <c r="H124" s="34" t="n">
        <f aca="false">Inputs!$B$18*12*(1+Inputs!$B$19)^17+Inputs!$B$20*(1+Inputs!$B$15)^17</f>
        <v>45813.6306713084</v>
      </c>
    </row>
    <row r="125" customFormat="false" ht="15" hidden="true" customHeight="true" outlineLevel="0" collapsed="false">
      <c r="B125" s="34" t="n">
        <f aca="false">Inputs!$B$18*12*(1+Inputs!$B$19)^18+Inputs!$B$20*(1+Inputs!$B$15)^18</f>
        <v>47188.0395914477</v>
      </c>
      <c r="C125" s="34" t="n">
        <f aca="false">Inputs!$B$18*12*(1+Inputs!$B$19)^18+Inputs!$B$20*(1+Inputs!$B$15)^18</f>
        <v>47188.0395914477</v>
      </c>
      <c r="D125" s="34" t="n">
        <f aca="false">Inputs!$B$18*12*(1+Inputs!$B$19)^18+Inputs!$B$20*(1+Inputs!$B$15)^18</f>
        <v>47188.0395914477</v>
      </c>
      <c r="E125" s="34" t="n">
        <f aca="false">Inputs!$B$18*12*(1+Inputs!$B$19)^18+Inputs!$B$20*(1+Inputs!$B$15)^18</f>
        <v>47188.0395914477</v>
      </c>
      <c r="F125" s="34" t="n">
        <f aca="false">Inputs!$B$18*12*(1+Inputs!$B$19)^18+Inputs!$B$20*(1+Inputs!$B$15)^18</f>
        <v>47188.0395914477</v>
      </c>
      <c r="G125" s="34" t="n">
        <f aca="false">Inputs!$B$18*12*(1+Inputs!$B$19)^18+Inputs!$B$20*(1+Inputs!$B$15)^18</f>
        <v>47188.0395914477</v>
      </c>
      <c r="H125" s="34" t="n">
        <f aca="false">Inputs!$B$18*12*(1+Inputs!$B$19)^18+Inputs!$B$20*(1+Inputs!$B$15)^18</f>
        <v>47188.0395914477</v>
      </c>
    </row>
    <row r="126" customFormat="false" ht="15" hidden="true" customHeight="true" outlineLevel="0" collapsed="false">
      <c r="B126" s="34" t="n">
        <f aca="false">Inputs!$B$18*12*(1+Inputs!$B$19)^19+Inputs!$B$20*(1+Inputs!$B$15)^19</f>
        <v>48603.6807791911</v>
      </c>
      <c r="C126" s="34" t="n">
        <f aca="false">Inputs!$B$18*12*(1+Inputs!$B$19)^19+Inputs!$B$20*(1+Inputs!$B$15)^19</f>
        <v>48603.6807791911</v>
      </c>
      <c r="D126" s="34" t="n">
        <f aca="false">Inputs!$B$18*12*(1+Inputs!$B$19)^19+Inputs!$B$20*(1+Inputs!$B$15)^19</f>
        <v>48603.6807791911</v>
      </c>
      <c r="E126" s="34" t="n">
        <f aca="false">Inputs!$B$18*12*(1+Inputs!$B$19)^19+Inputs!$B$20*(1+Inputs!$B$15)^19</f>
        <v>48603.6807791911</v>
      </c>
      <c r="F126" s="34" t="n">
        <f aca="false">Inputs!$B$18*12*(1+Inputs!$B$19)^19+Inputs!$B$20*(1+Inputs!$B$15)^19</f>
        <v>48603.6807791911</v>
      </c>
      <c r="G126" s="34" t="n">
        <f aca="false">Inputs!$B$18*12*(1+Inputs!$B$19)^19+Inputs!$B$20*(1+Inputs!$B$15)^19</f>
        <v>48603.6807791911</v>
      </c>
      <c r="H126" s="34" t="n">
        <f aca="false">Inputs!$B$18*12*(1+Inputs!$B$19)^19+Inputs!$B$20*(1+Inputs!$B$15)^19</f>
        <v>48603.6807791911</v>
      </c>
    </row>
    <row r="127" customFormat="false" ht="15" hidden="true" customHeight="true" outlineLevel="0" collapsed="false">
      <c r="B127" s="34" t="n">
        <f aca="false">Inputs!$B$18*12*(1+Inputs!$B$19)^20+Inputs!$B$20*(1+Inputs!$B$15)^20</f>
        <v>50061.7912025668</v>
      </c>
      <c r="C127" s="34" t="n">
        <f aca="false">Inputs!$B$18*12*(1+Inputs!$B$19)^20+Inputs!$B$20*(1+Inputs!$B$15)^20</f>
        <v>50061.7912025668</v>
      </c>
      <c r="D127" s="34" t="n">
        <f aca="false">Inputs!$B$18*12*(1+Inputs!$B$19)^20+Inputs!$B$20*(1+Inputs!$B$15)^20</f>
        <v>50061.7912025668</v>
      </c>
      <c r="E127" s="34" t="n">
        <f aca="false">Inputs!$B$18*12*(1+Inputs!$B$19)^20+Inputs!$B$20*(1+Inputs!$B$15)^20</f>
        <v>50061.7912025668</v>
      </c>
      <c r="F127" s="34" t="n">
        <f aca="false">Inputs!$B$18*12*(1+Inputs!$B$19)^20+Inputs!$B$20*(1+Inputs!$B$15)^20</f>
        <v>50061.7912025668</v>
      </c>
      <c r="G127" s="34" t="n">
        <f aca="false">Inputs!$B$18*12*(1+Inputs!$B$19)^20+Inputs!$B$20*(1+Inputs!$B$15)^20</f>
        <v>50061.7912025668</v>
      </c>
      <c r="H127" s="34" t="n">
        <f aca="false">Inputs!$B$18*12*(1+Inputs!$B$19)^20+Inputs!$B$20*(1+Inputs!$B$15)^20</f>
        <v>50061.7912025668</v>
      </c>
    </row>
    <row r="128" customFormat="false" ht="15" hidden="true" customHeight="true" outlineLevel="0" collapsed="false">
      <c r="B128" s="34" t="n">
        <f aca="false">Inputs!$B$18*12*(1+Inputs!$B$19)^21+Inputs!$B$20*(1+Inputs!$B$15)^21</f>
        <v>51563.6449386439</v>
      </c>
      <c r="C128" s="34" t="n">
        <f aca="false">Inputs!$B$18*12*(1+Inputs!$B$19)^21+Inputs!$B$20*(1+Inputs!$B$15)^21</f>
        <v>51563.6449386439</v>
      </c>
      <c r="D128" s="34" t="n">
        <f aca="false">Inputs!$B$18*12*(1+Inputs!$B$19)^21+Inputs!$B$20*(1+Inputs!$B$15)^21</f>
        <v>51563.6449386439</v>
      </c>
      <c r="E128" s="34" t="n">
        <f aca="false">Inputs!$B$18*12*(1+Inputs!$B$19)^21+Inputs!$B$20*(1+Inputs!$B$15)^21</f>
        <v>51563.6449386439</v>
      </c>
      <c r="F128" s="34" t="n">
        <f aca="false">Inputs!$B$18*12*(1+Inputs!$B$19)^21+Inputs!$B$20*(1+Inputs!$B$15)^21</f>
        <v>51563.6449386439</v>
      </c>
      <c r="G128" s="34" t="n">
        <f aca="false">Inputs!$B$18*12*(1+Inputs!$B$19)^21+Inputs!$B$20*(1+Inputs!$B$15)^21</f>
        <v>51563.6449386439</v>
      </c>
      <c r="H128" s="34" t="n">
        <f aca="false">Inputs!$B$18*12*(1+Inputs!$B$19)^21+Inputs!$B$20*(1+Inputs!$B$15)^21</f>
        <v>51563.6449386439</v>
      </c>
    </row>
    <row r="129" customFormat="false" ht="15" hidden="true" customHeight="true" outlineLevel="0" collapsed="false">
      <c r="B129" s="34" t="n">
        <f aca="false">Inputs!$B$18*12*(1+Inputs!$B$19)^22+Inputs!$B$20*(1+Inputs!$B$15)^22</f>
        <v>53110.5542868032</v>
      </c>
      <c r="C129" s="34" t="n">
        <f aca="false">Inputs!$B$18*12*(1+Inputs!$B$19)^22+Inputs!$B$20*(1+Inputs!$B$15)^22</f>
        <v>53110.5542868032</v>
      </c>
      <c r="D129" s="34" t="n">
        <f aca="false">Inputs!$B$18*12*(1+Inputs!$B$19)^22+Inputs!$B$20*(1+Inputs!$B$15)^22</f>
        <v>53110.5542868032</v>
      </c>
      <c r="E129" s="34" t="n">
        <f aca="false">Inputs!$B$18*12*(1+Inputs!$B$19)^22+Inputs!$B$20*(1+Inputs!$B$15)^22</f>
        <v>53110.5542868032</v>
      </c>
      <c r="F129" s="34" t="n">
        <f aca="false">Inputs!$B$18*12*(1+Inputs!$B$19)^22+Inputs!$B$20*(1+Inputs!$B$15)^22</f>
        <v>53110.5542868032</v>
      </c>
      <c r="G129" s="34" t="n">
        <f aca="false">Inputs!$B$18*12*(1+Inputs!$B$19)^22+Inputs!$B$20*(1+Inputs!$B$15)^22</f>
        <v>53110.5542868032</v>
      </c>
      <c r="H129" s="34" t="n">
        <f aca="false">Inputs!$B$18*12*(1+Inputs!$B$19)^22+Inputs!$B$20*(1+Inputs!$B$15)^22</f>
        <v>53110.5542868032</v>
      </c>
    </row>
    <row r="130" customFormat="false" ht="15" hidden="true" customHeight="true" outlineLevel="0" collapsed="false">
      <c r="B130" s="34" t="n">
        <f aca="false">Inputs!$B$18*12*(1+Inputs!$B$19)^23+Inputs!$B$20*(1+Inputs!$B$15)^23</f>
        <v>54703.8709154073</v>
      </c>
      <c r="C130" s="34" t="n">
        <f aca="false">Inputs!$B$18*12*(1+Inputs!$B$19)^23+Inputs!$B$20*(1+Inputs!$B$15)^23</f>
        <v>54703.8709154073</v>
      </c>
      <c r="D130" s="34" t="n">
        <f aca="false">Inputs!$B$18*12*(1+Inputs!$B$19)^23+Inputs!$B$20*(1+Inputs!$B$15)^23</f>
        <v>54703.8709154073</v>
      </c>
      <c r="E130" s="34" t="n">
        <f aca="false">Inputs!$B$18*12*(1+Inputs!$B$19)^23+Inputs!$B$20*(1+Inputs!$B$15)^23</f>
        <v>54703.8709154073</v>
      </c>
      <c r="F130" s="34" t="n">
        <f aca="false">Inputs!$B$18*12*(1+Inputs!$B$19)^23+Inputs!$B$20*(1+Inputs!$B$15)^23</f>
        <v>54703.8709154073</v>
      </c>
      <c r="G130" s="34" t="n">
        <f aca="false">Inputs!$B$18*12*(1+Inputs!$B$19)^23+Inputs!$B$20*(1+Inputs!$B$15)^23</f>
        <v>54703.8709154073</v>
      </c>
      <c r="H130" s="34" t="n">
        <f aca="false">Inputs!$B$18*12*(1+Inputs!$B$19)^23+Inputs!$B$20*(1+Inputs!$B$15)^23</f>
        <v>54703.8709154073</v>
      </c>
    </row>
    <row r="131" customFormat="false" ht="15" hidden="true" customHeight="true" outlineLevel="0" collapsed="false">
      <c r="B131" s="34" t="n">
        <f aca="false">Inputs!$B$18*12*(1+Inputs!$B$19)^24+Inputs!$B$20*(1+Inputs!$B$15)^24</f>
        <v>56344.9870428695</v>
      </c>
      <c r="C131" s="34" t="n">
        <f aca="false">Inputs!$B$18*12*(1+Inputs!$B$19)^24+Inputs!$B$20*(1+Inputs!$B$15)^24</f>
        <v>56344.9870428695</v>
      </c>
      <c r="D131" s="34" t="n">
        <f aca="false">Inputs!$B$18*12*(1+Inputs!$B$19)^24+Inputs!$B$20*(1+Inputs!$B$15)^24</f>
        <v>56344.9870428695</v>
      </c>
      <c r="E131" s="34" t="n">
        <f aca="false">Inputs!$B$18*12*(1+Inputs!$B$19)^24+Inputs!$B$20*(1+Inputs!$B$15)^24</f>
        <v>56344.9870428695</v>
      </c>
      <c r="F131" s="34" t="n">
        <f aca="false">Inputs!$B$18*12*(1+Inputs!$B$19)^24+Inputs!$B$20*(1+Inputs!$B$15)^24</f>
        <v>56344.9870428695</v>
      </c>
      <c r="G131" s="34" t="n">
        <f aca="false">Inputs!$B$18*12*(1+Inputs!$B$19)^24+Inputs!$B$20*(1+Inputs!$B$15)^24</f>
        <v>56344.9870428695</v>
      </c>
      <c r="H131" s="34" t="n">
        <f aca="false">Inputs!$B$18*12*(1+Inputs!$B$19)^24+Inputs!$B$20*(1+Inputs!$B$15)^24</f>
        <v>56344.9870428695</v>
      </c>
    </row>
    <row r="132" customFormat="false" ht="15" hidden="true" customHeight="true" outlineLevel="0" collapsed="false">
      <c r="B132" s="34" t="n">
        <f aca="false">Inputs!$B$18*12*(1+Inputs!$B$19)^25+Inputs!$B$20*(1+Inputs!$B$15)^25</f>
        <v>58035.3366541556</v>
      </c>
      <c r="C132" s="34" t="n">
        <f aca="false">Inputs!$B$18*12*(1+Inputs!$B$19)^25+Inputs!$B$20*(1+Inputs!$B$15)^25</f>
        <v>58035.3366541556</v>
      </c>
      <c r="D132" s="34" t="n">
        <f aca="false">Inputs!$B$18*12*(1+Inputs!$B$19)^25+Inputs!$B$20*(1+Inputs!$B$15)^25</f>
        <v>58035.3366541556</v>
      </c>
      <c r="E132" s="34" t="n">
        <f aca="false">Inputs!$B$18*12*(1+Inputs!$B$19)^25+Inputs!$B$20*(1+Inputs!$B$15)^25</f>
        <v>58035.3366541556</v>
      </c>
      <c r="F132" s="34" t="n">
        <f aca="false">Inputs!$B$18*12*(1+Inputs!$B$19)^25+Inputs!$B$20*(1+Inputs!$B$15)^25</f>
        <v>58035.3366541556</v>
      </c>
      <c r="G132" s="34" t="n">
        <f aca="false">Inputs!$B$18*12*(1+Inputs!$B$19)^25+Inputs!$B$20*(1+Inputs!$B$15)^25</f>
        <v>58035.3366541556</v>
      </c>
      <c r="H132" s="34" t="n">
        <f aca="false">Inputs!$B$18*12*(1+Inputs!$B$19)^25+Inputs!$B$20*(1+Inputs!$B$15)^25</f>
        <v>58035.3366541556</v>
      </c>
    </row>
    <row r="133" customFormat="false" ht="15" hidden="true" customHeight="true" outlineLevel="0" collapsed="false">
      <c r="B133" s="34" t="n">
        <f aca="false">Inputs!$B$18*12*(1+Inputs!$B$19)^26+Inputs!$B$20*(1+Inputs!$B$15)^26</f>
        <v>59776.3967537802</v>
      </c>
      <c r="C133" s="34" t="n">
        <f aca="false">Inputs!$B$18*12*(1+Inputs!$B$19)^26+Inputs!$B$20*(1+Inputs!$B$15)^26</f>
        <v>59776.3967537802</v>
      </c>
      <c r="D133" s="34" t="n">
        <f aca="false">Inputs!$B$18*12*(1+Inputs!$B$19)^26+Inputs!$B$20*(1+Inputs!$B$15)^26</f>
        <v>59776.3967537802</v>
      </c>
      <c r="E133" s="34" t="n">
        <f aca="false">Inputs!$B$18*12*(1+Inputs!$B$19)^26+Inputs!$B$20*(1+Inputs!$B$15)^26</f>
        <v>59776.3967537802</v>
      </c>
      <c r="F133" s="34" t="n">
        <f aca="false">Inputs!$B$18*12*(1+Inputs!$B$19)^26+Inputs!$B$20*(1+Inputs!$B$15)^26</f>
        <v>59776.3967537802</v>
      </c>
      <c r="G133" s="34" t="n">
        <f aca="false">Inputs!$B$18*12*(1+Inputs!$B$19)^26+Inputs!$B$20*(1+Inputs!$B$15)^26</f>
        <v>59776.3967537802</v>
      </c>
      <c r="H133" s="34" t="n">
        <f aca="false">Inputs!$B$18*12*(1+Inputs!$B$19)^26+Inputs!$B$20*(1+Inputs!$B$15)^26</f>
        <v>59776.3967537802</v>
      </c>
    </row>
    <row r="134" customFormat="false" ht="15" hidden="true" customHeight="true" outlineLevel="0" collapsed="false">
      <c r="B134" s="34" t="n">
        <f aca="false">Inputs!$B$18*12*(1+Inputs!$B$19)^27+Inputs!$B$20*(1+Inputs!$B$15)^27</f>
        <v>61569.6886563937</v>
      </c>
      <c r="C134" s="34" t="n">
        <f aca="false">Inputs!$B$18*12*(1+Inputs!$B$19)^27+Inputs!$B$20*(1+Inputs!$B$15)^27</f>
        <v>61569.6886563937</v>
      </c>
      <c r="D134" s="34" t="n">
        <f aca="false">Inputs!$B$18*12*(1+Inputs!$B$19)^27+Inputs!$B$20*(1+Inputs!$B$15)^27</f>
        <v>61569.6886563937</v>
      </c>
      <c r="E134" s="34" t="n">
        <f aca="false">Inputs!$B$18*12*(1+Inputs!$B$19)^27+Inputs!$B$20*(1+Inputs!$B$15)^27</f>
        <v>61569.6886563937</v>
      </c>
      <c r="F134" s="34" t="n">
        <f aca="false">Inputs!$B$18*12*(1+Inputs!$B$19)^27+Inputs!$B$20*(1+Inputs!$B$15)^27</f>
        <v>61569.6886563937</v>
      </c>
      <c r="G134" s="34" t="n">
        <f aca="false">Inputs!$B$18*12*(1+Inputs!$B$19)^27+Inputs!$B$20*(1+Inputs!$B$15)^27</f>
        <v>61569.6886563937</v>
      </c>
      <c r="H134" s="34" t="n">
        <f aca="false">Inputs!$B$18*12*(1+Inputs!$B$19)^27+Inputs!$B$20*(1+Inputs!$B$15)^27</f>
        <v>61569.6886563937</v>
      </c>
    </row>
    <row r="135" customFormat="false" ht="15" hidden="true" customHeight="true" outlineLevel="0" collapsed="false">
      <c r="B135" s="34" t="n">
        <f aca="false">Inputs!$B$18*12*(1+Inputs!$B$19)^28+Inputs!$B$20*(1+Inputs!$B$15)^28</f>
        <v>63416.7793160855</v>
      </c>
      <c r="C135" s="34" t="n">
        <f aca="false">Inputs!$B$18*12*(1+Inputs!$B$19)^28+Inputs!$B$20*(1+Inputs!$B$15)^28</f>
        <v>63416.7793160855</v>
      </c>
      <c r="D135" s="34" t="n">
        <f aca="false">Inputs!$B$18*12*(1+Inputs!$B$19)^28+Inputs!$B$20*(1+Inputs!$B$15)^28</f>
        <v>63416.7793160855</v>
      </c>
      <c r="E135" s="34" t="n">
        <f aca="false">Inputs!$B$18*12*(1+Inputs!$B$19)^28+Inputs!$B$20*(1+Inputs!$B$15)^28</f>
        <v>63416.7793160855</v>
      </c>
      <c r="F135" s="34" t="n">
        <f aca="false">Inputs!$B$18*12*(1+Inputs!$B$19)^28+Inputs!$B$20*(1+Inputs!$B$15)^28</f>
        <v>63416.7793160855</v>
      </c>
      <c r="G135" s="34" t="n">
        <f aca="false">Inputs!$B$18*12*(1+Inputs!$B$19)^28+Inputs!$B$20*(1+Inputs!$B$15)^28</f>
        <v>63416.7793160855</v>
      </c>
      <c r="H135" s="34" t="n">
        <f aca="false">Inputs!$B$18*12*(1+Inputs!$B$19)^28+Inputs!$B$20*(1+Inputs!$B$15)^28</f>
        <v>63416.7793160855</v>
      </c>
    </row>
    <row r="136" customFormat="false" ht="15" hidden="true" customHeight="true" outlineLevel="0" collapsed="false">
      <c r="B136" s="34" t="n">
        <f aca="false">Inputs!$B$18*12*(1+Inputs!$B$19)^29+Inputs!$B$20*(1+Inputs!$B$15)^29</f>
        <v>65319.282695568</v>
      </c>
      <c r="C136" s="34" t="n">
        <f aca="false">Inputs!$B$18*12*(1+Inputs!$B$19)^29+Inputs!$B$20*(1+Inputs!$B$15)^29</f>
        <v>65319.282695568</v>
      </c>
      <c r="D136" s="34" t="n">
        <f aca="false">Inputs!$B$18*12*(1+Inputs!$B$19)^29+Inputs!$B$20*(1+Inputs!$B$15)^29</f>
        <v>65319.282695568</v>
      </c>
      <c r="E136" s="34" t="n">
        <f aca="false">Inputs!$B$18*12*(1+Inputs!$B$19)^29+Inputs!$B$20*(1+Inputs!$B$15)^29</f>
        <v>65319.282695568</v>
      </c>
      <c r="F136" s="34" t="n">
        <f aca="false">Inputs!$B$18*12*(1+Inputs!$B$19)^29+Inputs!$B$20*(1+Inputs!$B$15)^29</f>
        <v>65319.282695568</v>
      </c>
      <c r="G136" s="34" t="n">
        <f aca="false">Inputs!$B$18*12*(1+Inputs!$B$19)^29+Inputs!$B$20*(1+Inputs!$B$15)^29</f>
        <v>65319.282695568</v>
      </c>
      <c r="H136" s="34" t="n">
        <f aca="false">Inputs!$B$18*12*(1+Inputs!$B$19)^29+Inputs!$B$20*(1+Inputs!$B$15)^29</f>
        <v>65319.282695568</v>
      </c>
    </row>
    <row r="137" customFormat="false" ht="15" hidden="true" customHeight="true" outlineLevel="0" collapsed="false"/>
    <row r="138" customFormat="false" ht="15" hidden="true" customHeight="true" outlineLevel="0" collapsed="false">
      <c r="A138" s="33" t="s">
        <v>95</v>
      </c>
      <c r="B138" s="34" t="n">
        <f aca="false">Inputs!$B$4*Inputs!$B$5+Inputs!$B$4*Inputs!$B$8</f>
        <v>98693</v>
      </c>
      <c r="C138" s="34" t="n">
        <f aca="false">Inputs!$B$4*Inputs!$B$5+Inputs!$B$4*Inputs!$B$8</f>
        <v>98693</v>
      </c>
      <c r="D138" s="34" t="n">
        <f aca="false">Inputs!$B$4*Inputs!$B$5+Inputs!$B$4*Inputs!$B$8</f>
        <v>98693</v>
      </c>
      <c r="E138" s="34" t="n">
        <f aca="false">Inputs!$B$4*Inputs!$B$5+Inputs!$B$4*Inputs!$B$8</f>
        <v>98693</v>
      </c>
      <c r="F138" s="34" t="n">
        <f aca="false">Inputs!$B$4*Inputs!$B$5+Inputs!$B$4*Inputs!$B$8</f>
        <v>98693</v>
      </c>
      <c r="G138" s="34" t="n">
        <f aca="false">Inputs!$B$4*Inputs!$B$5+Inputs!$B$4*Inputs!$B$8</f>
        <v>98693</v>
      </c>
      <c r="H138" s="34" t="n">
        <f aca="false">Inputs!$B$4*Inputs!$B$5+Inputs!$B$4*Inputs!$B$8</f>
        <v>98693</v>
      </c>
    </row>
    <row r="139" customFormat="false" ht="15" hidden="true" customHeight="true" outlineLevel="0" collapsed="false">
      <c r="B139" s="34" t="n">
        <f aca="false">B138*(1+Inputs!$B$23)+MAX(B75-B107,0)</f>
        <v>116292.847069895</v>
      </c>
      <c r="C139" s="34" t="n">
        <f aca="false">C138*(1+Inputs!$B$23)+MAX(C75-C107,0)</f>
        <v>116292.847069895</v>
      </c>
      <c r="D139" s="34" t="n">
        <f aca="false">D138*(1+Inputs!$B$23)+MAX(D75-D107,0)</f>
        <v>116292.847069895</v>
      </c>
      <c r="E139" s="34" t="n">
        <f aca="false">E138*(1+Inputs!$B$23)+MAX(E75-E107,0)</f>
        <v>116292.847069895</v>
      </c>
      <c r="F139" s="34" t="n">
        <f aca="false">F138*(1+Inputs!$B$23)+MAX(F75-F107,0)</f>
        <v>116292.847069895</v>
      </c>
      <c r="G139" s="34" t="n">
        <f aca="false">G138*(1+Inputs!$B$23)+MAX(G75-G107,0)</f>
        <v>116292.847069895</v>
      </c>
      <c r="H139" s="34" t="n">
        <f aca="false">H138*(1+Inputs!$B$23)+MAX(H75-H107,0)</f>
        <v>116292.847069895</v>
      </c>
    </row>
    <row r="140" customFormat="false" ht="15" hidden="true" customHeight="true" outlineLevel="0" collapsed="false">
      <c r="B140" s="34" t="n">
        <f aca="false">B139*(1+Inputs!$B$23)+MAX(B76-B108,0)</f>
        <v>134183.144963984</v>
      </c>
      <c r="C140" s="34" t="n">
        <f aca="false">C139*(1+Inputs!$B$23)+MAX(C76-C108,0)</f>
        <v>134273.255963983</v>
      </c>
      <c r="D140" s="34" t="n">
        <f aca="false">D139*(1+Inputs!$B$23)+MAX(D76-D108,0)</f>
        <v>134363.366963983</v>
      </c>
      <c r="E140" s="34" t="n">
        <f aca="false">E139*(1+Inputs!$B$23)+MAX(E76-E108,0)</f>
        <v>134453.477963984</v>
      </c>
      <c r="F140" s="34" t="n">
        <f aca="false">F139*(1+Inputs!$B$23)+MAX(F76-F108,0)</f>
        <v>134543.588963984</v>
      </c>
      <c r="G140" s="34" t="n">
        <f aca="false">G139*(1+Inputs!$B$23)+MAX(G76-G108,0)</f>
        <v>134633.699963984</v>
      </c>
      <c r="H140" s="34" t="n">
        <f aca="false">H139*(1+Inputs!$B$23)+MAX(H76-H108,0)</f>
        <v>134723.810963983</v>
      </c>
    </row>
    <row r="141" customFormat="false" ht="15" hidden="true" customHeight="true" outlineLevel="0" collapsed="false">
      <c r="B141" s="34" t="n">
        <f aca="false">B140*(1+Inputs!$B$23)+MAX(B77-B109,0)</f>
        <v>152358.354531717</v>
      </c>
      <c r="C141" s="34" t="n">
        <f aca="false">C140*(1+Inputs!$B$23)+MAX(C77-C109,0)</f>
        <v>152634.995301717</v>
      </c>
      <c r="D141" s="34" t="n">
        <f aca="false">D140*(1+Inputs!$B$23)+MAX(D77-D109,0)</f>
        <v>152913.438291717</v>
      </c>
      <c r="E141" s="34" t="n">
        <f aca="false">E140*(1+Inputs!$B$23)+MAX(E77-E109,0)</f>
        <v>153193.683501717</v>
      </c>
      <c r="F141" s="34" t="n">
        <f aca="false">F140*(1+Inputs!$B$23)+MAX(F77-F109,0)</f>
        <v>153475.730931717</v>
      </c>
      <c r="G141" s="34" t="n">
        <f aca="false">G140*(1+Inputs!$B$23)+MAX(G77-G109,0)</f>
        <v>153759.580581717</v>
      </c>
      <c r="H141" s="34" t="n">
        <f aca="false">H140*(1+Inputs!$B$23)+MAX(H77-H109,0)</f>
        <v>154045.232451717</v>
      </c>
    </row>
    <row r="142" customFormat="false" ht="15" hidden="true" customHeight="true" outlineLevel="0" collapsed="false">
      <c r="B142" s="34" t="n">
        <f aca="false">B141*(1+Inputs!$B$23)+MAX(B78-B110,0)</f>
        <v>170811.915287515</v>
      </c>
      <c r="C142" s="34" t="n">
        <f aca="false">C141*(1+Inputs!$B$23)+MAX(C78-C110,0)</f>
        <v>171378.199844815</v>
      </c>
      <c r="D142" s="34" t="n">
        <f aca="false">D141*(1+Inputs!$B$23)+MAX(D78-D110,0)</f>
        <v>171951.855481915</v>
      </c>
      <c r="E142" s="34" t="n">
        <f aca="false">E141*(1+Inputs!$B$23)+MAX(E78-E110,0)</f>
        <v>172532.936265415</v>
      </c>
      <c r="F142" s="34" t="n">
        <f aca="false">F141*(1+Inputs!$B$23)+MAX(F78-F110,0)</f>
        <v>173121.496261915</v>
      </c>
      <c r="G142" s="34" t="n">
        <f aca="false">G141*(1+Inputs!$B$23)+MAX(G78-G110,0)</f>
        <v>173717.589538015</v>
      </c>
      <c r="H142" s="34" t="n">
        <f aca="false">H141*(1+Inputs!$B$23)+MAX(H78-H110,0)</f>
        <v>174321.270160315</v>
      </c>
    </row>
    <row r="143" customFormat="false" ht="15" hidden="true" customHeight="true" outlineLevel="0" collapsed="false">
      <c r="B143" s="34" t="n">
        <f aca="false">B142*(1+Inputs!$B$23)+MAX(B79-B111,0)</f>
        <v>189536.163461081</v>
      </c>
      <c r="C143" s="34" t="n">
        <f aca="false">C142*(1+Inputs!$B$23)+MAX(C79-C111,0)</f>
        <v>190502.31188633</v>
      </c>
      <c r="D143" s="34" t="n">
        <f aca="false">D142*(1+Inputs!$B$23)+MAX(D79-D111,0)</f>
        <v>191487.304504121</v>
      </c>
      <c r="E143" s="34" t="n">
        <f aca="false">E142*(1+Inputs!$B$23)+MAX(E79-E111,0)</f>
        <v>192491.418135446</v>
      </c>
      <c r="F143" s="34" t="n">
        <f aca="false">F142*(1+Inputs!$B$23)+MAX(F79-F111,0)</f>
        <v>193514.931763961</v>
      </c>
      <c r="G143" s="34" t="n">
        <f aca="false">G142*(1+Inputs!$B$23)+MAX(G79-G111,0)</f>
        <v>194558.126535986</v>
      </c>
      <c r="H143" s="34" t="n">
        <f aca="false">H142*(1+Inputs!$B$23)+MAX(H79-H111,0)</f>
        <v>195621.285760505</v>
      </c>
    </row>
    <row r="144" customFormat="false" ht="15" hidden="true" customHeight="true" outlineLevel="0" collapsed="false">
      <c r="B144" s="34" t="n">
        <f aca="false">B143*(1+Inputs!$B$23)+MAX(B80-B112,0)</f>
        <v>208522.244510654</v>
      </c>
      <c r="C144" s="34" t="n">
        <f aca="false">C143*(1+Inputs!$B$23)+MAX(C80-C112,0)</f>
        <v>210006.018503874</v>
      </c>
      <c r="D144" s="34" t="n">
        <f aca="false">D143*(1+Inputs!$B$23)+MAX(D80-D112,0)</f>
        <v>211528.336541992</v>
      </c>
      <c r="E144" s="34" t="n">
        <f aca="false">E143*(1+Inputs!$B$23)+MAX(E80-E112,0)</f>
        <v>213090.049076405</v>
      </c>
      <c r="F144" s="34" t="n">
        <f aca="false">F143*(1+Inputs!$B$23)+MAX(F80-F112,0)</f>
        <v>214692.019880523</v>
      </c>
      <c r="G144" s="34" t="n">
        <f aca="false">G143*(1+Inputs!$B$23)+MAX(G80-G112,0)</f>
        <v>216335.126157897</v>
      </c>
      <c r="H144" s="34" t="n">
        <f aca="false">H143*(1+Inputs!$B$23)+MAX(H80-H112,0)</f>
        <v>218020.258650354</v>
      </c>
    </row>
    <row r="145" customFormat="false" ht="15" hidden="true" customHeight="true" outlineLevel="0" collapsed="false">
      <c r="B145" s="34" t="n">
        <f aca="false">B144*(1+Inputs!$B$23)+MAX(B81-B113,0)</f>
        <v>227760.019748361</v>
      </c>
      <c r="C145" s="34" t="n">
        <f aca="false">C144*(1+Inputs!$B$23)+MAX(C81-C113,0)</f>
        <v>229887.184410255</v>
      </c>
      <c r="D145" s="34" t="n">
        <f aca="false">D144*(1+Inputs!$B$23)+MAX(D81-D113,0)</f>
        <v>232083.339477809</v>
      </c>
      <c r="E145" s="34" t="n">
        <f aca="false">E144*(1+Inputs!$B$23)+MAX(E81-E113,0)</f>
        <v>234350.51723731</v>
      </c>
      <c r="F145" s="34" t="n">
        <f aca="false">F144*(1+Inputs!$B$23)+MAX(F81-F113,0)</f>
        <v>236690.797847992</v>
      </c>
      <c r="G145" s="34" t="n">
        <f aca="false">G144*(1+Inputs!$B$23)+MAX(G81-G113,0)</f>
        <v>239106.310121674</v>
      </c>
      <c r="H145" s="34" t="n">
        <f aca="false">H144*(1+Inputs!$B$23)+MAX(H81-H113,0)</f>
        <v>241599.232308894</v>
      </c>
    </row>
    <row r="146" customFormat="false" ht="15" hidden="true" customHeight="true" outlineLevel="0" collapsed="false">
      <c r="B146" s="34" t="n">
        <f aca="false">B145*(1+Inputs!$B$23)+MAX(B82-B114,0)</f>
        <v>247237.966705245</v>
      </c>
      <c r="C146" s="34" t="n">
        <f aca="false">C145*(1+Inputs!$B$23)+MAX(C82-C114,0)</f>
        <v>250142.780118224</v>
      </c>
      <c r="D146" s="34" t="n">
        <f aca="false">D145*(1+Inputs!$B$23)+MAX(D82-D114,0)</f>
        <v>253160.507038215</v>
      </c>
      <c r="E146" s="34" t="n">
        <f aca="false">E145*(1+Inputs!$B$23)+MAX(E82-E114,0)</f>
        <v>256295.310432262</v>
      </c>
      <c r="F146" s="34" t="n">
        <f aca="false">F145*(1+Inputs!$B$23)+MAX(F82-F114,0)</f>
        <v>259551.484346726</v>
      </c>
      <c r="G146" s="34" t="n">
        <f aca="false">G145*(1+Inputs!$B$23)+MAX(G82-G114,0)</f>
        <v>262933.457119556</v>
      </c>
      <c r="H146" s="34" t="n">
        <f aca="false">H145*(1+Inputs!$B$23)+MAX(H82-H114,0)</f>
        <v>266445.794646207</v>
      </c>
    </row>
    <row r="147" customFormat="false" ht="15" hidden="true" customHeight="true" outlineLevel="0" collapsed="false">
      <c r="B147" s="34" t="n">
        <f aca="false">B146*(1+Inputs!$B$23)+MAX(B83-B115,0)</f>
        <v>266943.072840606</v>
      </c>
      <c r="C147" s="34" t="n">
        <f aca="false">C146*(1+Inputs!$B$23)+MAX(C83-C115,0)</f>
        <v>270768.805118449</v>
      </c>
      <c r="D147" s="34" t="n">
        <f aca="false">D146*(1+Inputs!$B$23)+MAX(D83-D115,0)</f>
        <v>274767.805441703</v>
      </c>
      <c r="E147" s="34" t="n">
        <f aca="false">E146*(1+Inputs!$B$23)+MAX(E83-E115,0)</f>
        <v>278947.749071635</v>
      </c>
      <c r="F147" s="34" t="n">
        <f aca="false">F146*(1+Inputs!$B$23)+MAX(F83-F115,0)</f>
        <v>283316.614110683</v>
      </c>
      <c r="G147" s="34" t="n">
        <f aca="false">G146*(1+Inputs!$B$23)+MAX(G83-G115,0)</f>
        <v>287882.691429302</v>
      </c>
      <c r="H147" s="34" t="n">
        <f aca="false">H146*(1+Inputs!$B$23)+MAX(H83-H115,0)</f>
        <v>292654.59484243</v>
      </c>
    </row>
    <row r="148" customFormat="false" ht="15" hidden="true" customHeight="true" outlineLevel="0" collapsed="false">
      <c r="B148" s="34" t="n">
        <f aca="false">B147*(1+Inputs!$B$23)+MAX(B84-B116,0)</f>
        <v>286860.722175983</v>
      </c>
      <c r="C148" s="34" t="n">
        <f aca="false">C147*(1+Inputs!$B$23)+MAX(C84-C116,0)</f>
        <v>291760.205751182</v>
      </c>
      <c r="D148" s="34" t="n">
        <f aca="false">D147*(1+Inputs!$B$23)+MAX(D84-D116,0)</f>
        <v>296912.937378258</v>
      </c>
      <c r="E148" s="34" t="n">
        <f aca="false">E147*(1+Inputs!$B$23)+MAX(E84-E116,0)</f>
        <v>302332.020617677</v>
      </c>
      <c r="F148" s="34" t="n">
        <f aca="false">F147*(1+Inputs!$B$23)+MAX(F84-F116,0)</f>
        <v>308031.180995175</v>
      </c>
      <c r="G148" s="34" t="n">
        <f aca="false">G147*(1+Inputs!$B$23)+MAX(G84-G116,0)</f>
        <v>314024.791567005</v>
      </c>
      <c r="H148" s="34" t="n">
        <f aca="false">H147*(1+Inputs!$B$23)+MAX(H84-H116,0)</f>
        <v>320327.899345386</v>
      </c>
    </row>
    <row r="149" customFormat="false" ht="15" hidden="true" customHeight="true" outlineLevel="0" collapsed="false">
      <c r="B149" s="34" t="n">
        <f aca="false">B148*(1+Inputs!$B$23)+MAX(B85-B117,0)</f>
        <v>306974.574408333</v>
      </c>
      <c r="C149" s="34" t="n">
        <f aca="false">C148*(1+Inputs!$B$23)+MAX(C85-C117,0)</f>
        <v>313110.787432337</v>
      </c>
      <c r="D149" s="34" t="n">
        <f aca="false">D148*(1+Inputs!$B$23)+MAX(D85-D117,0)</f>
        <v>319603.30314076</v>
      </c>
      <c r="E149" s="34" t="n">
        <f aca="false">E148*(1+Inputs!$B$23)+MAX(E85-E117,0)</f>
        <v>326473.215642437</v>
      </c>
      <c r="F149" s="34" t="n">
        <f aca="false">F148*(1+Inputs!$B$23)+MAX(F85-F117,0)</f>
        <v>333742.790032505</v>
      </c>
      <c r="G149" s="34" t="n">
        <f aca="false">G148*(1+Inputs!$B$23)+MAX(G85-G117,0)</f>
        <v>341435.520334171</v>
      </c>
      <c r="H149" s="34" t="n">
        <f aca="false">H148*(1+Inputs!$B$23)+MAX(H85-H117,0)</f>
        <v>349576.189886218</v>
      </c>
    </row>
    <row r="150" customFormat="false" ht="15" hidden="true" customHeight="true" outlineLevel="0" collapsed="false">
      <c r="B150" s="34" t="n">
        <f aca="false">B149*(1+Inputs!$B$23)+MAX(B86-B118,0)</f>
        <v>327266.436029582</v>
      </c>
      <c r="C150" s="34" t="n">
        <f aca="false">C149*(1+Inputs!$B$23)+MAX(C86-C118,0)</f>
        <v>334813.120873662</v>
      </c>
      <c r="D150" s="34" t="n">
        <f aca="false">D149*(1+Inputs!$B$23)+MAX(D86-D118,0)</f>
        <v>342845.958716329</v>
      </c>
      <c r="E150" s="34" t="n">
        <f aca="false">E149*(1+Inputs!$B$23)+MAX(E86-E118,0)</f>
        <v>351397.365570217</v>
      </c>
      <c r="F150" s="34" t="n">
        <f aca="false">F149*(1+Inputs!$B$23)+MAX(F86-F118,0)</f>
        <v>360501.819038064</v>
      </c>
      <c r="G150" s="34" t="n">
        <f aca="false">G149*(1+Inputs!$B$23)+MAX(G86-G118,0)</f>
        <v>370195.977700891</v>
      </c>
      <c r="H150" s="34" t="n">
        <f aca="false">H149*(1+Inputs!$B$23)+MAX(H86-H118,0)</f>
        <v>380518.806575155</v>
      </c>
    </row>
    <row r="151" customFormat="false" ht="15" hidden="true" customHeight="true" outlineLevel="0" collapsed="false">
      <c r="B151" s="34" t="n">
        <f aca="false">B150*(1+Inputs!$B$23)+MAX(B87-B119,0)</f>
        <v>347716.122950711</v>
      </c>
      <c r="C151" s="34" t="n">
        <f aca="false">C150*(1+Inputs!$B$23)+MAX(C87-C119,0)</f>
        <v>356858.441914458</v>
      </c>
      <c r="D151" s="34" t="n">
        <f aca="false">D150*(1+Inputs!$B$23)+MAX(D87-D119,0)</f>
        <v>366647.570633645</v>
      </c>
      <c r="E151" s="34" t="n">
        <f aca="false">E150*(1+Inputs!$B$23)+MAX(E87-E119,0)</f>
        <v>377131.482191244</v>
      </c>
      <c r="F151" s="34" t="n">
        <f aca="false">F150*(1+Inputs!$B$23)+MAX(F87-F119,0)</f>
        <v>388361.590364438</v>
      </c>
      <c r="G151" s="34" t="n">
        <f aca="false">G150*(1+Inputs!$B$23)+MAX(G87-G119,0)</f>
        <v>400392.978061717</v>
      </c>
      <c r="H151" s="34" t="n">
        <f aca="false">H150*(1+Inputs!$B$23)+MAX(H87-H119,0)</f>
        <v>413284.639356376</v>
      </c>
    </row>
    <row r="152" customFormat="false" ht="15" hidden="true" customHeight="true" outlineLevel="0" collapsed="false">
      <c r="B152" s="34" t="n">
        <f aca="false">B151*(1+Inputs!$B$23)+MAX(B88-B120,0)</f>
        <v>368579.090327753</v>
      </c>
      <c r="C152" s="34" t="n">
        <f aca="false">C151*(1+Inputs!$B$23)+MAX(C88-C120,0)</f>
        <v>379236.544558676</v>
      </c>
      <c r="D152" s="34" t="n">
        <f aca="false">D151*(1+Inputs!$B$23)+MAX(D88-D120,0)</f>
        <v>391014.367349384</v>
      </c>
      <c r="E152" s="34" t="n">
        <f aca="false">E151*(1+Inputs!$B$23)+MAX(E88-E120,0)</f>
        <v>403703.59903804</v>
      </c>
      <c r="F152" s="34" t="n">
        <f aca="false">F151*(1+Inputs!$B$23)+MAX(F88-F120,0)</f>
        <v>417378.553438066</v>
      </c>
      <c r="G152" s="34" t="n">
        <f aca="false">G151*(1+Inputs!$B$23)+MAX(G88-G120,0)</f>
        <v>432119.453501847</v>
      </c>
      <c r="H152" s="34" t="n">
        <f aca="false">H151*(1+Inputs!$B$23)+MAX(H88-H120,0)</f>
        <v>448012.871332796</v>
      </c>
    </row>
    <row r="153" customFormat="false" ht="15" hidden="true" customHeight="true" outlineLevel="0" collapsed="false">
      <c r="B153" s="34" t="n">
        <f aca="false">B152*(1+Inputs!$B$23)+MAX(B89-B121,0)</f>
        <v>390693.835747418</v>
      </c>
      <c r="C153" s="34" t="n">
        <f aca="false">C152*(1+Inputs!$B$23)+MAX(C89-C121,0)</f>
        <v>401990.737232197</v>
      </c>
      <c r="D153" s="34" t="n">
        <f aca="false">D152*(1+Inputs!$B$23)+MAX(D89-D121,0)</f>
        <v>415952.086943225</v>
      </c>
      <c r="E153" s="34" t="n">
        <f aca="false">E152*(1+Inputs!$B$23)+MAX(E89-E121,0)</f>
        <v>431142.814721006</v>
      </c>
      <c r="F153" s="34" t="n">
        <f aca="false">F152*(1+Inputs!$B$23)+MAX(F89-F121,0)</f>
        <v>447612.478752386</v>
      </c>
      <c r="G153" s="34" t="n">
        <f aca="false">G152*(1+Inputs!$B$23)+MAX(G89-G121,0)</f>
        <v>465474.884818708</v>
      </c>
      <c r="H153" s="34" t="n">
        <f aca="false">H152*(1+Inputs!$B$23)+MAX(H89-H121,0)</f>
        <v>484853.777719504</v>
      </c>
    </row>
    <row r="154" customFormat="false" ht="15" hidden="true" customHeight="true" outlineLevel="0" collapsed="false">
      <c r="B154" s="34" t="n">
        <f aca="false">B153*(1+Inputs!$B$23)+MAX(B90-B122,0)</f>
        <v>414135.465892263</v>
      </c>
      <c r="C154" s="34" t="n">
        <f aca="false">C153*(1+Inputs!$B$23)+MAX(C90-C122,0)</f>
        <v>426110.181466128</v>
      </c>
      <c r="D154" s="34" t="n">
        <f aca="false">D153*(1+Inputs!$B$23)+MAX(D90-D122,0)</f>
        <v>441465.920876368</v>
      </c>
      <c r="E154" s="34" t="n">
        <f aca="false">E153*(1+Inputs!$B$23)+MAX(E90-E122,0)</f>
        <v>459479.338325074</v>
      </c>
      <c r="F154" s="34" t="n">
        <f aca="false">F153*(1+Inputs!$B$23)+MAX(F90-F122,0)</f>
        <v>479126.664033079</v>
      </c>
      <c r="G154" s="34" t="n">
        <f aca="false">G153*(1+Inputs!$B$23)+MAX(G90-G122,0)</f>
        <v>500565.762158401</v>
      </c>
      <c r="H154" s="34" t="n">
        <f aca="false">H153*(1+Inputs!$B$23)+MAX(H90-H122,0)</f>
        <v>523969.584449592</v>
      </c>
    </row>
    <row r="155" customFormat="false" ht="15" hidden="true" customHeight="true" outlineLevel="0" collapsed="false">
      <c r="B155" s="34" t="n">
        <f aca="false">B154*(1+Inputs!$B$23)+MAX(B91-B123,0)</f>
        <v>438983.593845799</v>
      </c>
      <c r="C155" s="34" t="n">
        <f aca="false">C154*(1+Inputs!$B$23)+MAX(C91-C123,0)</f>
        <v>451676.792354096</v>
      </c>
      <c r="D155" s="34" t="n">
        <f aca="false">D154*(1+Inputs!$B$23)+MAX(D91-D123,0)</f>
        <v>467953.87612895</v>
      </c>
      <c r="E155" s="34" t="n">
        <f aca="false">E154*(1+Inputs!$B$23)+MAX(E91-E123,0)</f>
        <v>488744.536974914</v>
      </c>
      <c r="F155" s="34" t="n">
        <f aca="false">F154*(1+Inputs!$B$23)+MAX(F91-F123,0)</f>
        <v>511988.153335408</v>
      </c>
      <c r="G155" s="34" t="n">
        <f aca="false">G154*(1+Inputs!$B$23)+MAX(G91-G123,0)</f>
        <v>537506.077248246</v>
      </c>
      <c r="H155" s="34" t="n">
        <f aca="false">H154*(1+Inputs!$B$23)+MAX(H91-H123,0)</f>
        <v>565535.39073941</v>
      </c>
    </row>
    <row r="156" customFormat="false" ht="15" hidden="true" customHeight="true" outlineLevel="0" collapsed="false">
      <c r="B156" s="34" t="n">
        <f aca="false">B155*(1+Inputs!$B$23)+MAX(B92-B124,0)</f>
        <v>465322.609476547</v>
      </c>
      <c r="C156" s="34" t="n">
        <f aca="false">C155*(1+Inputs!$B$23)+MAX(C92-C124,0)</f>
        <v>478777.399895342</v>
      </c>
      <c r="D156" s="34" t="n">
        <f aca="false">D155*(1+Inputs!$B$23)+MAX(D92-D124,0)</f>
        <v>496031.108696687</v>
      </c>
      <c r="E156" s="34" t="n">
        <f aca="false">E155*(1+Inputs!$B$23)+MAX(E92-E124,0)</f>
        <v>518970.985682157</v>
      </c>
      <c r="F156" s="34" t="n">
        <f aca="false">F155*(1+Inputs!$B$23)+MAX(F92-F124,0)</f>
        <v>546267.969880625</v>
      </c>
      <c r="G156" s="34" t="n">
        <f aca="false">G155*(1+Inputs!$B$23)+MAX(G92-G124,0)</f>
        <v>576417.849336262</v>
      </c>
      <c r="H156" s="34" t="n">
        <f aca="false">H155*(1+Inputs!$B$23)+MAX(H92-H124,0)</f>
        <v>609740.160223183</v>
      </c>
    </row>
    <row r="157" customFormat="false" ht="15" hidden="true" customHeight="true" outlineLevel="0" collapsed="false">
      <c r="B157" s="34" t="n">
        <f aca="false">B156*(1+Inputs!$B$23)+MAX(B93-B125,0)</f>
        <v>493241.96604514</v>
      </c>
      <c r="C157" s="34" t="n">
        <f aca="false">C156*(1+Inputs!$B$23)+MAX(C93-C125,0)</f>
        <v>507504.043889063</v>
      </c>
      <c r="D157" s="34" t="n">
        <f aca="false">D156*(1+Inputs!$B$23)+MAX(D93-D125,0)</f>
        <v>525792.975218488</v>
      </c>
      <c r="E157" s="34" t="n">
        <f aca="false">E156*(1+Inputs!$B$23)+MAX(E93-E125,0)</f>
        <v>550192.5195944</v>
      </c>
      <c r="F157" s="34" t="n">
        <f aca="false">F156*(1+Inputs!$B$23)+MAX(F93-F125,0)</f>
        <v>582041.363488365</v>
      </c>
      <c r="G157" s="34" t="n">
        <f aca="false">G156*(1+Inputs!$B$23)+MAX(G93-G125,0)</f>
        <v>617431.687086326</v>
      </c>
      <c r="H157" s="34" t="n">
        <f aca="false">H156*(1+Inputs!$B$23)+MAX(H93-H125,0)</f>
        <v>656787.785590561</v>
      </c>
    </row>
    <row r="158" customFormat="false" ht="15" hidden="true" customHeight="true" outlineLevel="0" collapsed="false">
      <c r="B158" s="34" t="n">
        <f aca="false">B157*(1+Inputs!$B$23)+MAX(B94-B126,0)</f>
        <v>522836.484007849</v>
      </c>
      <c r="C158" s="34" t="n">
        <f aca="false">C157*(1+Inputs!$B$23)+MAX(C94-C126,0)</f>
        <v>537954.286522406</v>
      </c>
      <c r="D158" s="34" t="n">
        <f aca="false">D157*(1+Inputs!$B$23)+MAX(D94-D126,0)</f>
        <v>557340.553731597</v>
      </c>
      <c r="E158" s="34" t="n">
        <f aca="false">E157*(1+Inputs!$B$23)+MAX(E94-E126,0)</f>
        <v>583204.070770065</v>
      </c>
      <c r="F158" s="34" t="n">
        <f aca="false">F157*(1+Inputs!$B$23)+MAX(F94-F126,0)</f>
        <v>619388.073514937</v>
      </c>
      <c r="G158" s="34" t="n">
        <f aca="false">G157*(1+Inputs!$B$23)+MAX(G94-G126,0)</f>
        <v>660687.388824529</v>
      </c>
      <c r="H158" s="34" t="n">
        <f aca="false">H157*(1+Inputs!$B$23)+MAX(H94-H126,0)</f>
        <v>706898.23200673</v>
      </c>
    </row>
    <row r="159" customFormat="false" ht="15" hidden="true" customHeight="true" outlineLevel="0" collapsed="false">
      <c r="B159" s="34" t="n">
        <f aca="false">B158*(1+Inputs!$B$23)+MAX(B95-B127,0)</f>
        <v>554206.67304832</v>
      </c>
      <c r="C159" s="34" t="n">
        <f aca="false">C158*(1+Inputs!$B$23)+MAX(C95-C127,0)</f>
        <v>570231.543713751</v>
      </c>
      <c r="D159" s="34" t="n">
        <f aca="false">D158*(1+Inputs!$B$23)+MAX(D95-D127,0)</f>
        <v>590780.986955493</v>
      </c>
      <c r="E159" s="34" t="n">
        <f aca="false">E158*(1+Inputs!$B$23)+MAX(E95-E127,0)</f>
        <v>618196.315016268</v>
      </c>
      <c r="F159" s="34" t="n">
        <f aca="false">F158*(1+Inputs!$B$23)+MAX(F95-F127,0)</f>
        <v>658392.608263622</v>
      </c>
      <c r="G159" s="34" t="n">
        <f aca="false">G158*(1+Inputs!$B$23)+MAX(G95-G127,0)</f>
        <v>706334.583688428</v>
      </c>
      <c r="H159" s="34" t="n">
        <f aca="false">H158*(1+Inputs!$B$23)+MAX(H95-H127,0)</f>
        <v>760308.764964392</v>
      </c>
    </row>
    <row r="160" customFormat="false" ht="15" hidden="true" customHeight="true" outlineLevel="0" collapsed="false">
      <c r="B160" s="34" t="n">
        <f aca="false">B159*(1+Inputs!$B$23)+MAX(B96-B128,0)</f>
        <v>587459.073431219</v>
      </c>
      <c r="C160" s="34" t="n">
        <f aca="false">C159*(1+Inputs!$B$23)+MAX(C96-C128,0)</f>
        <v>604445.436336576</v>
      </c>
      <c r="D160" s="34" t="n">
        <f aca="false">D159*(1+Inputs!$B$23)+MAX(D96-D128,0)</f>
        <v>626227.846172823</v>
      </c>
      <c r="E160" s="34" t="n">
        <f aca="false">E159*(1+Inputs!$B$23)+MAX(E96-E128,0)</f>
        <v>655288.093917245</v>
      </c>
      <c r="F160" s="34" t="n">
        <f aca="false">F159*(1+Inputs!$B$23)+MAX(F96-F128,0)</f>
        <v>699144.541892807</v>
      </c>
      <c r="G160" s="34" t="n">
        <f aca="false">G159*(1+Inputs!$B$23)+MAX(G96-G128,0)</f>
        <v>754533.416397114</v>
      </c>
      <c r="H160" s="34" t="n">
        <f aca="false">H159*(1+Inputs!$B$23)+MAX(H96-H128,0)</f>
        <v>817275.268612144</v>
      </c>
    </row>
    <row r="161" customFormat="false" ht="15" hidden="true" customHeight="true" outlineLevel="0" collapsed="false">
      <c r="B161" s="34" t="n">
        <f aca="false">B160*(1+Inputs!$B$23)+MAX(B97-B129,0)</f>
        <v>622706.617837092</v>
      </c>
      <c r="C161" s="34" t="n">
        <f aca="false">C160*(1+Inputs!$B$23)+MAX(C97-C129,0)</f>
        <v>640712.16251677</v>
      </c>
      <c r="D161" s="34" t="n">
        <f aca="false">D160*(1+Inputs!$B$23)+MAX(D97-D129,0)</f>
        <v>663801.516943192</v>
      </c>
      <c r="E161" s="34" t="n">
        <f aca="false">E160*(1+Inputs!$B$23)+MAX(E97-E129,0)</f>
        <v>694605.379552279</v>
      </c>
      <c r="F161" s="34" t="n">
        <f aca="false">F160*(1+Inputs!$B$23)+MAX(F97-F129,0)</f>
        <v>741738.829911091</v>
      </c>
      <c r="G161" s="34" t="n">
        <f aca="false">G160*(1+Inputs!$B$23)+MAX(G97-G129,0)</f>
        <v>805455.278536813</v>
      </c>
      <c r="H161" s="34" t="n">
        <f aca="false">H160*(1+Inputs!$B$23)+MAX(H97-H129,0)</f>
        <v>878073.661025987</v>
      </c>
    </row>
    <row r="162" customFormat="false" ht="15" hidden="true" customHeight="true" outlineLevel="0" collapsed="false">
      <c r="B162" s="34" t="n">
        <f aca="false">B161*(1+Inputs!$B$23)+MAX(B98-B130,0)</f>
        <v>660069.014907318</v>
      </c>
      <c r="C162" s="34" t="n">
        <f aca="false">C161*(1+Inputs!$B$23)+MAX(C98-C130,0)</f>
        <v>679154.892267777</v>
      </c>
      <c r="D162" s="34" t="n">
        <f aca="false">D161*(1+Inputs!$B$23)+MAX(D98-D130,0)</f>
        <v>703629.607959784</v>
      </c>
      <c r="E162" s="34" t="n">
        <f aca="false">E161*(1+Inputs!$B$23)+MAX(E98-E130,0)</f>
        <v>736281.702325416</v>
      </c>
      <c r="F162" s="34" t="n">
        <f aca="false">F161*(1+Inputs!$B$23)+MAX(F98-F130,0)</f>
        <v>786276.144415739</v>
      </c>
      <c r="G162" s="34" t="n">
        <f aca="false">G161*(1+Inputs!$B$23)+MAX(G98-G130,0)</f>
        <v>859283.589444939</v>
      </c>
      <c r="H162" s="34" t="n">
        <f aca="false">H161*(1+Inputs!$B$23)+MAX(H98-H130,0)</f>
        <v>943001.413341914</v>
      </c>
    </row>
    <row r="163" customFormat="false" ht="15" hidden="true" customHeight="true" outlineLevel="0" collapsed="false">
      <c r="B163" s="34" t="n">
        <f aca="false">B162*(1+Inputs!$B$23)+MAX(B99-B131,0)</f>
        <v>699673.155801757</v>
      </c>
      <c r="C163" s="34" t="n">
        <f aca="false">C162*(1+Inputs!$B$23)+MAX(C99-C131,0)</f>
        <v>719904.185803843</v>
      </c>
      <c r="D163" s="34" t="n">
        <f aca="false">D162*(1+Inputs!$B$23)+MAX(D99-D131,0)</f>
        <v>745847.384437371</v>
      </c>
      <c r="E163" s="34" t="n">
        <f aca="false">E162*(1+Inputs!$B$23)+MAX(E99-E131,0)</f>
        <v>780458.604464941</v>
      </c>
      <c r="F163" s="34" t="n">
        <f aca="false">F162*(1+Inputs!$B$23)+MAX(F99-F131,0)</f>
        <v>833452.713080683</v>
      </c>
      <c r="G163" s="34" t="n">
        <f aca="false">G162*(1+Inputs!$B$23)+MAX(G99-G131,0)</f>
        <v>916214.629975672</v>
      </c>
      <c r="H163" s="34" t="n">
        <f aca="false">H162*(1+Inputs!$B$23)+MAX(H99-H131,0)</f>
        <v>1012379.18014959</v>
      </c>
    </row>
    <row r="164" customFormat="false" ht="15" hidden="true" customHeight="true" outlineLevel="0" collapsed="false">
      <c r="B164" s="34" t="n">
        <f aca="false">B163*(1+Inputs!$B$23)+MAX(B100-B132,0)</f>
        <v>741653.545149862</v>
      </c>
      <c r="C164" s="34" t="n">
        <f aca="false">C163*(1+Inputs!$B$23)+MAX(C100-C132,0)</f>
        <v>763098.436952074</v>
      </c>
      <c r="D164" s="34" t="n">
        <f aca="false">D163*(1+Inputs!$B$23)+MAX(D100-D132,0)</f>
        <v>790598.227503613</v>
      </c>
      <c r="E164" s="34" t="n">
        <f aca="false">E163*(1+Inputs!$B$23)+MAX(E100-E132,0)</f>
        <v>827286.120732838</v>
      </c>
      <c r="F164" s="34" t="n">
        <f aca="false">F163*(1+Inputs!$B$23)+MAX(F100-F132,0)</f>
        <v>883459.875865524</v>
      </c>
      <c r="G164" s="34" t="n">
        <f aca="false">G163*(1+Inputs!$B$23)+MAX(G100-G132,0)</f>
        <v>976458.43264313</v>
      </c>
      <c r="H164" s="34" t="n">
        <f aca="false">H163*(1+Inputs!$B$23)+MAX(H100-H132,0)</f>
        <v>1086552.54906223</v>
      </c>
    </row>
    <row r="165" customFormat="false" ht="15" hidden="true" customHeight="true" outlineLevel="0" collapsed="false">
      <c r="B165" s="34" t="n">
        <f aca="false">B164*(1+Inputs!$B$23)+MAX(B101-B133,0)</f>
        <v>786152.757858854</v>
      </c>
      <c r="C165" s="34" t="n">
        <f aca="false">C164*(1+Inputs!$B$23)+MAX(C101-C133,0)</f>
        <v>808884.343169198</v>
      </c>
      <c r="D165" s="34" t="n">
        <f aca="false">D164*(1+Inputs!$B$23)+MAX(D101-D133,0)</f>
        <v>838034.12115383</v>
      </c>
      <c r="E165" s="34" t="n">
        <f aca="false">E164*(1+Inputs!$B$23)+MAX(E101-E133,0)</f>
        <v>876923.287976808</v>
      </c>
      <c r="F165" s="34" t="n">
        <f aca="false">F164*(1+Inputs!$B$23)+MAX(F101-F133,0)</f>
        <v>936467.468417455</v>
      </c>
      <c r="G165" s="34" t="n">
        <f aca="false">G164*(1+Inputs!$B$23)+MAX(G101-G133,0)</f>
        <v>1040239.73186476</v>
      </c>
      <c r="H165" s="34" t="n">
        <f aca="false">H164*(1+Inputs!$B$23)+MAX(H101-H133,0)</f>
        <v>1165893.91792791</v>
      </c>
    </row>
    <row r="166" customFormat="false" ht="15" hidden="true" customHeight="true" outlineLevel="0" collapsed="false">
      <c r="B166" s="34" t="n">
        <f aca="false">B165*(1+Inputs!$B$23)+MAX(B102-B134,0)</f>
        <v>833321.923330385</v>
      </c>
      <c r="C166" s="34" t="n">
        <f aca="false">C165*(1+Inputs!$B$23)+MAX(C102-C134,0)</f>
        <v>857417.40375935</v>
      </c>
      <c r="D166" s="34" t="n">
        <f aca="false">D165*(1+Inputs!$B$23)+MAX(D102-D134,0)</f>
        <v>888316.16842306</v>
      </c>
      <c r="E166" s="34" t="n">
        <f aca="false">E165*(1+Inputs!$B$23)+MAX(E102-E134,0)</f>
        <v>929538.685255416</v>
      </c>
      <c r="F166" s="34" t="n">
        <f aca="false">F165*(1+Inputs!$B$23)+MAX(F102-F134,0)</f>
        <v>992655.516522503</v>
      </c>
      <c r="G166" s="34" t="n">
        <f aca="false">G165*(1+Inputs!$B$23)+MAX(G102-G134,0)</f>
        <v>1107798.97826866</v>
      </c>
      <c r="H166" s="34" t="n">
        <f aca="false">H165*(1+Inputs!$B$23)+MAX(H102-H134,0)</f>
        <v>1250804.50873562</v>
      </c>
    </row>
    <row r="167" customFormat="false" ht="15" hidden="true" customHeight="true" outlineLevel="0" collapsed="false">
      <c r="B167" s="34" t="n">
        <f aca="false">B166*(1+Inputs!$B$23)+MAX(B103-B135,0)</f>
        <v>883321.238730208</v>
      </c>
      <c r="C167" s="34" t="n">
        <f aca="false">C166*(1+Inputs!$B$23)+MAX(C103-C135,0)</f>
        <v>908862.447984911</v>
      </c>
      <c r="D167" s="34" t="n">
        <f aca="false">D166*(1+Inputs!$B$23)+MAX(D103-D135,0)</f>
        <v>941615.138528444</v>
      </c>
      <c r="E167" s="34" t="n">
        <f aca="false">E166*(1+Inputs!$B$23)+MAX(E103-E135,0)</f>
        <v>985311.006370742</v>
      </c>
      <c r="F167" s="34" t="n">
        <f aca="false">F166*(1+Inputs!$B$23)+MAX(F103-F135,0)</f>
        <v>1052214.84751385</v>
      </c>
      <c r="G167" s="34" t="n">
        <f aca="false">G166*(1+Inputs!$B$23)+MAX(G103-G135,0)</f>
        <v>1179393.42128477</v>
      </c>
      <c r="H167" s="34" t="n">
        <f aca="false">H166*(1+Inputs!$B$23)+MAX(H103-H135,0)</f>
        <v>1341716.52789684</v>
      </c>
    </row>
    <row r="168" customFormat="false" ht="15" hidden="true" customHeight="true" outlineLevel="0" collapsed="false">
      <c r="B168" s="34" t="n">
        <f aca="false">B167*(1+Inputs!$B$23)+MAX(B104-B136,0)</f>
        <v>936320.513054021</v>
      </c>
      <c r="C168" s="34" t="n">
        <f aca="false">C167*(1+Inputs!$B$23)+MAX(C104-C136,0)</f>
        <v>963394.194864006</v>
      </c>
      <c r="D168" s="34" t="n">
        <f aca="false">D167*(1+Inputs!$B$23)+MAX(D104-D136,0)</f>
        <v>998112.04684015</v>
      </c>
      <c r="E168" s="34" t="n">
        <f aca="false">E167*(1+Inputs!$B$23)+MAX(E104-E136,0)</f>
        <v>1044429.66675299</v>
      </c>
      <c r="F168" s="34" t="n">
        <f aca="false">F167*(1+Inputs!$B$23)+MAX(F104-F136,0)</f>
        <v>1115347.73836468</v>
      </c>
      <c r="G168" s="34" t="n">
        <f aca="false">G167*(1+Inputs!$B$23)+MAX(G104-G136,0)</f>
        <v>1255298.26451295</v>
      </c>
      <c r="H168" s="34" t="n">
        <f aca="false">H167*(1+Inputs!$B$23)+MAX(H104-H136,0)</f>
        <v>1439095.48325465</v>
      </c>
    </row>
    <row r="169" customFormat="false" ht="15" hidden="true" customHeight="true" outlineLevel="0" collapsed="false"/>
    <row r="170" customFormat="false" ht="15" hidden="true" customHeight="true" outlineLevel="0" collapsed="false">
      <c r="A170" s="33" t="s">
        <v>96</v>
      </c>
      <c r="B170" s="34" t="n">
        <v>0</v>
      </c>
      <c r="C170" s="34" t="n">
        <v>0</v>
      </c>
      <c r="D170" s="34" t="n">
        <v>0</v>
      </c>
      <c r="E170" s="34" t="n">
        <v>0</v>
      </c>
      <c r="F170" s="34" t="n">
        <v>0</v>
      </c>
      <c r="G170" s="34" t="n">
        <v>0</v>
      </c>
      <c r="H170" s="34" t="n">
        <v>0</v>
      </c>
    </row>
    <row r="171" customFormat="false" ht="15" hidden="true" customHeight="true" outlineLevel="0" collapsed="false">
      <c r="B171" s="34" t="n">
        <f aca="false">B170*(1+Inputs!$B$23)+MAX(B107-B75,0)</f>
        <v>0</v>
      </c>
      <c r="C171" s="34" t="n">
        <f aca="false">C170*(1+Inputs!$B$23)+MAX(C107-C75,0)</f>
        <v>0</v>
      </c>
      <c r="D171" s="34" t="n">
        <f aca="false">D170*(1+Inputs!$B$23)+MAX(D107-D75,0)</f>
        <v>0</v>
      </c>
      <c r="E171" s="34" t="n">
        <f aca="false">E170*(1+Inputs!$B$23)+MAX(E107-E75,0)</f>
        <v>0</v>
      </c>
      <c r="F171" s="34" t="n">
        <f aca="false">F170*(1+Inputs!$B$23)+MAX(F107-F75,0)</f>
        <v>0</v>
      </c>
      <c r="G171" s="34" t="n">
        <f aca="false">G170*(1+Inputs!$B$23)+MAX(G107-G75,0)</f>
        <v>0</v>
      </c>
      <c r="H171" s="34" t="n">
        <f aca="false">H170*(1+Inputs!$B$23)+MAX(H107-H75,0)</f>
        <v>0</v>
      </c>
    </row>
    <row r="172" customFormat="false" ht="15" hidden="true" customHeight="true" outlineLevel="0" collapsed="false">
      <c r="B172" s="34" t="n">
        <f aca="false">B171*(1+Inputs!$B$23)+MAX(B108-B76,0)</f>
        <v>0</v>
      </c>
      <c r="C172" s="34" t="n">
        <f aca="false">C171*(1+Inputs!$B$23)+MAX(C108-C76,0)</f>
        <v>0</v>
      </c>
      <c r="D172" s="34" t="n">
        <f aca="false">D171*(1+Inputs!$B$23)+MAX(D108-D76,0)</f>
        <v>0</v>
      </c>
      <c r="E172" s="34" t="n">
        <f aca="false">E171*(1+Inputs!$B$23)+MAX(E108-E76,0)</f>
        <v>0</v>
      </c>
      <c r="F172" s="34" t="n">
        <f aca="false">F171*(1+Inputs!$B$23)+MAX(F108-F76,0)</f>
        <v>0</v>
      </c>
      <c r="G172" s="34" t="n">
        <f aca="false">G171*(1+Inputs!$B$23)+MAX(G108-G76,0)</f>
        <v>0</v>
      </c>
      <c r="H172" s="34" t="n">
        <f aca="false">H171*(1+Inputs!$B$23)+MAX(H108-H76,0)</f>
        <v>0</v>
      </c>
    </row>
    <row r="173" customFormat="false" ht="15" hidden="true" customHeight="true" outlineLevel="0" collapsed="false">
      <c r="B173" s="34" t="n">
        <f aca="false">B172*(1+Inputs!$B$23)+MAX(B109-B77,0)</f>
        <v>0</v>
      </c>
      <c r="C173" s="34" t="n">
        <f aca="false">C172*(1+Inputs!$B$23)+MAX(C109-C77,0)</f>
        <v>0</v>
      </c>
      <c r="D173" s="34" t="n">
        <f aca="false">D172*(1+Inputs!$B$23)+MAX(D109-D77,0)</f>
        <v>0</v>
      </c>
      <c r="E173" s="34" t="n">
        <f aca="false">E172*(1+Inputs!$B$23)+MAX(E109-E77,0)</f>
        <v>0</v>
      </c>
      <c r="F173" s="34" t="n">
        <f aca="false">F172*(1+Inputs!$B$23)+MAX(F109-F77,0)</f>
        <v>0</v>
      </c>
      <c r="G173" s="34" t="n">
        <f aca="false">G172*(1+Inputs!$B$23)+MAX(G109-G77,0)</f>
        <v>0</v>
      </c>
      <c r="H173" s="34" t="n">
        <f aca="false">H172*(1+Inputs!$B$23)+MAX(H109-H77,0)</f>
        <v>0</v>
      </c>
    </row>
    <row r="174" customFormat="false" ht="15" hidden="true" customHeight="true" outlineLevel="0" collapsed="false">
      <c r="B174" s="34" t="n">
        <f aca="false">B173*(1+Inputs!$B$23)+MAX(B110-B78,0)</f>
        <v>0</v>
      </c>
      <c r="C174" s="34" t="n">
        <f aca="false">C173*(1+Inputs!$B$23)+MAX(C110-C78,0)</f>
        <v>0</v>
      </c>
      <c r="D174" s="34" t="n">
        <f aca="false">D173*(1+Inputs!$B$23)+MAX(D110-D78,0)</f>
        <v>0</v>
      </c>
      <c r="E174" s="34" t="n">
        <f aca="false">E173*(1+Inputs!$B$23)+MAX(E110-E78,0)</f>
        <v>0</v>
      </c>
      <c r="F174" s="34" t="n">
        <f aca="false">F173*(1+Inputs!$B$23)+MAX(F110-F78,0)</f>
        <v>0</v>
      </c>
      <c r="G174" s="34" t="n">
        <f aca="false">G173*(1+Inputs!$B$23)+MAX(G110-G78,0)</f>
        <v>0</v>
      </c>
      <c r="H174" s="34" t="n">
        <f aca="false">H173*(1+Inputs!$B$23)+MAX(H110-H78,0)</f>
        <v>0</v>
      </c>
    </row>
    <row r="175" customFormat="false" ht="15" hidden="true" customHeight="true" outlineLevel="0" collapsed="false">
      <c r="B175" s="34" t="n">
        <f aca="false">B174*(1+Inputs!$B$23)+MAX(B111-B79,0)</f>
        <v>0</v>
      </c>
      <c r="C175" s="34" t="n">
        <f aca="false">C174*(1+Inputs!$B$23)+MAX(C111-C79,0)</f>
        <v>0</v>
      </c>
      <c r="D175" s="34" t="n">
        <f aca="false">D174*(1+Inputs!$B$23)+MAX(D111-D79,0)</f>
        <v>0</v>
      </c>
      <c r="E175" s="34" t="n">
        <f aca="false">E174*(1+Inputs!$B$23)+MAX(E111-E79,0)</f>
        <v>0</v>
      </c>
      <c r="F175" s="34" t="n">
        <f aca="false">F174*(1+Inputs!$B$23)+MAX(F111-F79,0)</f>
        <v>0</v>
      </c>
      <c r="G175" s="34" t="n">
        <f aca="false">G174*(1+Inputs!$B$23)+MAX(G111-G79,0)</f>
        <v>0</v>
      </c>
      <c r="H175" s="34" t="n">
        <f aca="false">H174*(1+Inputs!$B$23)+MAX(H111-H79,0)</f>
        <v>0</v>
      </c>
    </row>
    <row r="176" customFormat="false" ht="15" hidden="true" customHeight="true" outlineLevel="0" collapsed="false">
      <c r="B176" s="34" t="n">
        <f aca="false">B175*(1+Inputs!$B$23)+MAX(B112-B80,0)</f>
        <v>0</v>
      </c>
      <c r="C176" s="34" t="n">
        <f aca="false">C175*(1+Inputs!$B$23)+MAX(C112-C80,0)</f>
        <v>0</v>
      </c>
      <c r="D176" s="34" t="n">
        <f aca="false">D175*(1+Inputs!$B$23)+MAX(D112-D80,0)</f>
        <v>0</v>
      </c>
      <c r="E176" s="34" t="n">
        <f aca="false">E175*(1+Inputs!$B$23)+MAX(E112-E80,0)</f>
        <v>0</v>
      </c>
      <c r="F176" s="34" t="n">
        <f aca="false">F175*(1+Inputs!$B$23)+MAX(F112-F80,0)</f>
        <v>0</v>
      </c>
      <c r="G176" s="34" t="n">
        <f aca="false">G175*(1+Inputs!$B$23)+MAX(G112-G80,0)</f>
        <v>0</v>
      </c>
      <c r="H176" s="34" t="n">
        <f aca="false">H175*(1+Inputs!$B$23)+MAX(H112-H80,0)</f>
        <v>0</v>
      </c>
    </row>
    <row r="177" customFormat="false" ht="15" hidden="true" customHeight="true" outlineLevel="0" collapsed="false">
      <c r="B177" s="34" t="n">
        <f aca="false">B176*(1+Inputs!$B$23)+MAX(B113-B81,0)</f>
        <v>0</v>
      </c>
      <c r="C177" s="34" t="n">
        <f aca="false">C176*(1+Inputs!$B$23)+MAX(C113-C81,0)</f>
        <v>0</v>
      </c>
      <c r="D177" s="34" t="n">
        <f aca="false">D176*(1+Inputs!$B$23)+MAX(D113-D81,0)</f>
        <v>0</v>
      </c>
      <c r="E177" s="34" t="n">
        <f aca="false">E176*(1+Inputs!$B$23)+MAX(E113-E81,0)</f>
        <v>0</v>
      </c>
      <c r="F177" s="34" t="n">
        <f aca="false">F176*(1+Inputs!$B$23)+MAX(F113-F81,0)</f>
        <v>0</v>
      </c>
      <c r="G177" s="34" t="n">
        <f aca="false">G176*(1+Inputs!$B$23)+MAX(G113-G81,0)</f>
        <v>0</v>
      </c>
      <c r="H177" s="34" t="n">
        <f aca="false">H176*(1+Inputs!$B$23)+MAX(H113-H81,0)</f>
        <v>0</v>
      </c>
    </row>
    <row r="178" customFormat="false" ht="15" hidden="true" customHeight="true" outlineLevel="0" collapsed="false">
      <c r="B178" s="34" t="n">
        <f aca="false">B177*(1+Inputs!$B$23)+MAX(B114-B82,0)</f>
        <v>0</v>
      </c>
      <c r="C178" s="34" t="n">
        <f aca="false">C177*(1+Inputs!$B$23)+MAX(C114-C82,0)</f>
        <v>0</v>
      </c>
      <c r="D178" s="34" t="n">
        <f aca="false">D177*(1+Inputs!$B$23)+MAX(D114-D82,0)</f>
        <v>0</v>
      </c>
      <c r="E178" s="34" t="n">
        <f aca="false">E177*(1+Inputs!$B$23)+MAX(E114-E82,0)</f>
        <v>0</v>
      </c>
      <c r="F178" s="34" t="n">
        <f aca="false">F177*(1+Inputs!$B$23)+MAX(F114-F82,0)</f>
        <v>0</v>
      </c>
      <c r="G178" s="34" t="n">
        <f aca="false">G177*(1+Inputs!$B$23)+MAX(G114-G82,0)</f>
        <v>0</v>
      </c>
      <c r="H178" s="34" t="n">
        <f aca="false">H177*(1+Inputs!$B$23)+MAX(H114-H82,0)</f>
        <v>0</v>
      </c>
    </row>
    <row r="179" customFormat="false" ht="15" hidden="true" customHeight="true" outlineLevel="0" collapsed="false">
      <c r="B179" s="34" t="n">
        <f aca="false">B178*(1+Inputs!$B$23)+MAX(B115-B83,0)</f>
        <v>0</v>
      </c>
      <c r="C179" s="34" t="n">
        <f aca="false">C178*(1+Inputs!$B$23)+MAX(C115-C83,0)</f>
        <v>0</v>
      </c>
      <c r="D179" s="34" t="n">
        <f aca="false">D178*(1+Inputs!$B$23)+MAX(D115-D83,0)</f>
        <v>0</v>
      </c>
      <c r="E179" s="34" t="n">
        <f aca="false">E178*(1+Inputs!$B$23)+MAX(E115-E83,0)</f>
        <v>0</v>
      </c>
      <c r="F179" s="34" t="n">
        <f aca="false">F178*(1+Inputs!$B$23)+MAX(F115-F83,0)</f>
        <v>0</v>
      </c>
      <c r="G179" s="34" t="n">
        <f aca="false">G178*(1+Inputs!$B$23)+MAX(G115-G83,0)</f>
        <v>0</v>
      </c>
      <c r="H179" s="34" t="n">
        <f aca="false">H178*(1+Inputs!$B$23)+MAX(H115-H83,0)</f>
        <v>0</v>
      </c>
    </row>
    <row r="180" customFormat="false" ht="15" hidden="true" customHeight="true" outlineLevel="0" collapsed="false">
      <c r="B180" s="34" t="n">
        <f aca="false">B179*(1+Inputs!$B$23)+MAX(B116-B84,0)</f>
        <v>0</v>
      </c>
      <c r="C180" s="34" t="n">
        <f aca="false">C179*(1+Inputs!$B$23)+MAX(C116-C84,0)</f>
        <v>0</v>
      </c>
      <c r="D180" s="34" t="n">
        <f aca="false">D179*(1+Inputs!$B$23)+MAX(D116-D84,0)</f>
        <v>0</v>
      </c>
      <c r="E180" s="34" t="n">
        <f aca="false">E179*(1+Inputs!$B$23)+MAX(E116-E84,0)</f>
        <v>0</v>
      </c>
      <c r="F180" s="34" t="n">
        <f aca="false">F179*(1+Inputs!$B$23)+MAX(F116-F84,0)</f>
        <v>0</v>
      </c>
      <c r="G180" s="34" t="n">
        <f aca="false">G179*(1+Inputs!$B$23)+MAX(G116-G84,0)</f>
        <v>0</v>
      </c>
      <c r="H180" s="34" t="n">
        <f aca="false">H179*(1+Inputs!$B$23)+MAX(H116-H84,0)</f>
        <v>0</v>
      </c>
    </row>
    <row r="181" customFormat="false" ht="15" hidden="true" customHeight="true" outlineLevel="0" collapsed="false">
      <c r="B181" s="34" t="n">
        <f aca="false">B180*(1+Inputs!$B$23)+MAX(B117-B85,0)</f>
        <v>0</v>
      </c>
      <c r="C181" s="34" t="n">
        <f aca="false">C180*(1+Inputs!$B$23)+MAX(C117-C85,0)</f>
        <v>0</v>
      </c>
      <c r="D181" s="34" t="n">
        <f aca="false">D180*(1+Inputs!$B$23)+MAX(D117-D85,0)</f>
        <v>0</v>
      </c>
      <c r="E181" s="34" t="n">
        <f aca="false">E180*(1+Inputs!$B$23)+MAX(E117-E85,0)</f>
        <v>0</v>
      </c>
      <c r="F181" s="34" t="n">
        <f aca="false">F180*(1+Inputs!$B$23)+MAX(F117-F85,0)</f>
        <v>0</v>
      </c>
      <c r="G181" s="34" t="n">
        <f aca="false">G180*(1+Inputs!$B$23)+MAX(G117-G85,0)</f>
        <v>0</v>
      </c>
      <c r="H181" s="34" t="n">
        <f aca="false">H180*(1+Inputs!$B$23)+MAX(H117-H85,0)</f>
        <v>0</v>
      </c>
    </row>
    <row r="182" customFormat="false" ht="15" hidden="true" customHeight="true" outlineLevel="0" collapsed="false">
      <c r="B182" s="34" t="n">
        <f aca="false">B181*(1+Inputs!$B$23)+MAX(B118-B86,0)</f>
        <v>0</v>
      </c>
      <c r="C182" s="34" t="n">
        <f aca="false">C181*(1+Inputs!$B$23)+MAX(C118-C86,0)</f>
        <v>0</v>
      </c>
      <c r="D182" s="34" t="n">
        <f aca="false">D181*(1+Inputs!$B$23)+MAX(D118-D86,0)</f>
        <v>0</v>
      </c>
      <c r="E182" s="34" t="n">
        <f aca="false">E181*(1+Inputs!$B$23)+MAX(E118-E86,0)</f>
        <v>0</v>
      </c>
      <c r="F182" s="34" t="n">
        <f aca="false">F181*(1+Inputs!$B$23)+MAX(F118-F86,0)</f>
        <v>0</v>
      </c>
      <c r="G182" s="34" t="n">
        <f aca="false">G181*(1+Inputs!$B$23)+MAX(G118-G86,0)</f>
        <v>0</v>
      </c>
      <c r="H182" s="34" t="n">
        <f aca="false">H181*(1+Inputs!$B$23)+MAX(H118-H86,0)</f>
        <v>0</v>
      </c>
    </row>
    <row r="183" customFormat="false" ht="15" hidden="true" customHeight="true" outlineLevel="0" collapsed="false">
      <c r="B183" s="34" t="n">
        <f aca="false">B182*(1+Inputs!$B$23)+MAX(B119-B87,0)</f>
        <v>0</v>
      </c>
      <c r="C183" s="34" t="n">
        <f aca="false">C182*(1+Inputs!$B$23)+MAX(C119-C87,0)</f>
        <v>0</v>
      </c>
      <c r="D183" s="34" t="n">
        <f aca="false">D182*(1+Inputs!$B$23)+MAX(D119-D87,0)</f>
        <v>0</v>
      </c>
      <c r="E183" s="34" t="n">
        <f aca="false">E182*(1+Inputs!$B$23)+MAX(E119-E87,0)</f>
        <v>0</v>
      </c>
      <c r="F183" s="34" t="n">
        <f aca="false">F182*(1+Inputs!$B$23)+MAX(F119-F87,0)</f>
        <v>0</v>
      </c>
      <c r="G183" s="34" t="n">
        <f aca="false">G182*(1+Inputs!$B$23)+MAX(G119-G87,0)</f>
        <v>0</v>
      </c>
      <c r="H183" s="34" t="n">
        <f aca="false">H182*(1+Inputs!$B$23)+MAX(H119-H87,0)</f>
        <v>0</v>
      </c>
    </row>
    <row r="184" customFormat="false" ht="15" hidden="true" customHeight="true" outlineLevel="0" collapsed="false">
      <c r="B184" s="34" t="n">
        <f aca="false">B183*(1+Inputs!$B$23)+MAX(B120-B88,0)</f>
        <v>277.776229962125</v>
      </c>
      <c r="C184" s="34" t="n">
        <f aca="false">C183*(1+Inputs!$B$23)+MAX(C120-C88,0)</f>
        <v>0</v>
      </c>
      <c r="D184" s="34" t="n">
        <f aca="false">D183*(1+Inputs!$B$23)+MAX(D120-D88,0)</f>
        <v>0</v>
      </c>
      <c r="E184" s="34" t="n">
        <f aca="false">E183*(1+Inputs!$B$23)+MAX(E120-E88,0)</f>
        <v>0</v>
      </c>
      <c r="F184" s="34" t="n">
        <f aca="false">F183*(1+Inputs!$B$23)+MAX(F120-F88,0)</f>
        <v>0</v>
      </c>
      <c r="G184" s="34" t="n">
        <f aca="false">G183*(1+Inputs!$B$23)+MAX(G120-G88,0)</f>
        <v>0</v>
      </c>
      <c r="H184" s="34" t="n">
        <f aca="false">H183*(1+Inputs!$B$23)+MAX(H120-H88,0)</f>
        <v>0</v>
      </c>
    </row>
    <row r="185" customFormat="false" ht="15" hidden="true" customHeight="true" outlineLevel="0" collapsed="false">
      <c r="B185" s="34" t="n">
        <f aca="false">B184*(1+Inputs!$B$23)+MAX(B121-B89,0)</f>
        <v>1696.4403327177</v>
      </c>
      <c r="C185" s="34" t="n">
        <f aca="false">C184*(1+Inputs!$B$23)+MAX(C121-C89,0)</f>
        <v>55.0704460523048</v>
      </c>
      <c r="D185" s="34" t="n">
        <f aca="false">D184*(1+Inputs!$B$23)+MAX(D121-D89,0)</f>
        <v>0</v>
      </c>
      <c r="E185" s="34" t="n">
        <f aca="false">E184*(1+Inputs!$B$23)+MAX(E121-E89,0)</f>
        <v>0</v>
      </c>
      <c r="F185" s="34" t="n">
        <f aca="false">F184*(1+Inputs!$B$23)+MAX(F121-F89,0)</f>
        <v>0</v>
      </c>
      <c r="G185" s="34" t="n">
        <f aca="false">G184*(1+Inputs!$B$23)+MAX(G121-G89,0)</f>
        <v>0</v>
      </c>
      <c r="H185" s="34" t="n">
        <f aca="false">H184*(1+Inputs!$B$23)+MAX(H121-H89,0)</f>
        <v>0</v>
      </c>
    </row>
    <row r="186" customFormat="false" ht="15" hidden="true" customHeight="true" outlineLevel="0" collapsed="false">
      <c r="B186" s="34" t="n">
        <f aca="false">B185*(1+Inputs!$B$23)+MAX(B122-B90,0)</f>
        <v>4358.17221960419</v>
      </c>
      <c r="C186" s="34" t="n">
        <f aca="false">C185*(1+Inputs!$B$23)+MAX(C122-C90,0)</f>
        <v>1167.81278600427</v>
      </c>
      <c r="D186" s="34" t="n">
        <f aca="false">D185*(1+Inputs!$B$23)+MAX(D122-D90,0)</f>
        <v>0</v>
      </c>
      <c r="E186" s="34" t="n">
        <f aca="false">E185*(1+Inputs!$B$23)+MAX(E122-E90,0)</f>
        <v>0</v>
      </c>
      <c r="F186" s="34" t="n">
        <f aca="false">F185*(1+Inputs!$B$23)+MAX(F122-F90,0)</f>
        <v>0</v>
      </c>
      <c r="G186" s="34" t="n">
        <f aca="false">G185*(1+Inputs!$B$23)+MAX(G122-G90,0)</f>
        <v>0</v>
      </c>
      <c r="H186" s="34" t="n">
        <f aca="false">H185*(1+Inputs!$B$23)+MAX(H122-H90,0)</f>
        <v>0</v>
      </c>
    </row>
    <row r="187" customFormat="false" ht="15" hidden="true" customHeight="true" outlineLevel="0" collapsed="false">
      <c r="B187" s="34" t="n">
        <f aca="false">B186*(1+Inputs!$B$23)+MAX(B123-B91,0)</f>
        <v>8372.29439580841</v>
      </c>
      <c r="C187" s="34" t="n">
        <f aca="false">C186*(1+Inputs!$B$23)+MAX(C123-C91,0)</f>
        <v>3435.38996892056</v>
      </c>
      <c r="D187" s="34" t="n">
        <f aca="false">D186*(1+Inputs!$B$23)+MAX(D123-D91,0)</f>
        <v>393.422575885947</v>
      </c>
      <c r="E187" s="34" t="n">
        <f aca="false">E186*(1+Inputs!$B$23)+MAX(E123-E91,0)</f>
        <v>0</v>
      </c>
      <c r="F187" s="34" t="n">
        <f aca="false">F186*(1+Inputs!$B$23)+MAX(F123-F91,0)</f>
        <v>0</v>
      </c>
      <c r="G187" s="34" t="n">
        <f aca="false">G186*(1+Inputs!$B$23)+MAX(G123-G91,0)</f>
        <v>0</v>
      </c>
      <c r="H187" s="34" t="n">
        <f aca="false">H186*(1+Inputs!$B$23)+MAX(H123-H91,0)</f>
        <v>0</v>
      </c>
    </row>
    <row r="188" customFormat="false" ht="15" hidden="true" customHeight="true" outlineLevel="0" collapsed="false">
      <c r="B188" s="34" t="n">
        <f aca="false">B187*(1+Inputs!$B$23)+MAX(B124-B92,0)</f>
        <v>13855.7308699726</v>
      </c>
      <c r="C188" s="34" t="n">
        <f aca="false">C187*(1+Inputs!$B$23)+MAX(C124-C92,0)</f>
        <v>6961.8265159268</v>
      </c>
      <c r="D188" s="34" t="n">
        <f aca="false">D187*(1+Inputs!$B$23)+MAX(D124-D92,0)</f>
        <v>1791.5112883699</v>
      </c>
      <c r="E188" s="34" t="n">
        <f aca="false">E187*(1+Inputs!$B$23)+MAX(E124-E92,0)</f>
        <v>0</v>
      </c>
      <c r="F188" s="34" t="n">
        <f aca="false">F187*(1+Inputs!$B$23)+MAX(F124-F92,0)</f>
        <v>0</v>
      </c>
      <c r="G188" s="34" t="n">
        <f aca="false">G187*(1+Inputs!$B$23)+MAX(G124-G92,0)</f>
        <v>0</v>
      </c>
      <c r="H188" s="34" t="n">
        <f aca="false">H187*(1+Inputs!$B$23)+MAX(H124-H92,0)</f>
        <v>0</v>
      </c>
    </row>
    <row r="189" customFormat="false" ht="15" hidden="true" customHeight="true" outlineLevel="0" collapsed="false">
      <c r="B189" s="34" t="n">
        <f aca="false">B188*(1+Inputs!$B$23)+MAX(B125-B93,0)</f>
        <v>20933.4945089959</v>
      </c>
      <c r="C189" s="34" t="n">
        <f aca="false">C188*(1+Inputs!$B$23)+MAX(C125-C93,0)</f>
        <v>11858.4513755473</v>
      </c>
      <c r="D189" s="34" t="n">
        <f aca="false">D188*(1+Inputs!$B$23)+MAX(D125-D93,0)</f>
        <v>4286.45199096251</v>
      </c>
      <c r="E189" s="34" t="n">
        <f aca="false">E188*(1+Inputs!$B$23)+MAX(E125-E93,0)</f>
        <v>0</v>
      </c>
      <c r="F189" s="34" t="n">
        <f aca="false">F188*(1+Inputs!$B$23)+MAX(F125-F93,0)</f>
        <v>0</v>
      </c>
      <c r="G189" s="34" t="n">
        <f aca="false">G188*(1+Inputs!$B$23)+MAX(G125-G93,0)</f>
        <v>0</v>
      </c>
      <c r="H189" s="34" t="n">
        <f aca="false">H188*(1+Inputs!$B$23)+MAX(H125-H93,0)</f>
        <v>0</v>
      </c>
    </row>
    <row r="190" customFormat="false" ht="15" hidden="true" customHeight="true" outlineLevel="0" collapsed="false">
      <c r="B190" s="34" t="n">
        <f aca="false">B189*(1+Inputs!$B$23)+MAX(B126-B94,0)</f>
        <v>29739.2045720623</v>
      </c>
      <c r="C190" s="34" t="n">
        <f aca="false">C189*(1+Inputs!$B$23)+MAX(C126-C94,0)</f>
        <v>18244.368287265</v>
      </c>
      <c r="D190" s="34" t="n">
        <f aca="false">D189*(1+Inputs!$B$23)+MAX(D126-D94,0)</f>
        <v>7976.96834618159</v>
      </c>
      <c r="E190" s="34" t="n">
        <f aca="false">E189*(1+Inputs!$B$23)+MAX(E126-E94,0)</f>
        <v>759.781997643513</v>
      </c>
      <c r="F190" s="34" t="n">
        <f aca="false">F189*(1+Inputs!$B$23)+MAX(F126-F94,0)</f>
        <v>0</v>
      </c>
      <c r="G190" s="34" t="n">
        <f aca="false">G189*(1+Inputs!$B$23)+MAX(G126-G94,0)</f>
        <v>0</v>
      </c>
      <c r="H190" s="34" t="n">
        <f aca="false">H189*(1+Inputs!$B$23)+MAX(H126-H94,0)</f>
        <v>0</v>
      </c>
    </row>
    <row r="191" customFormat="false" ht="15" hidden="true" customHeight="true" outlineLevel="0" collapsed="false">
      <c r="B191" s="34" t="n">
        <f aca="false">B190*(1+Inputs!$B$23)+MAX(B127-B95,0)</f>
        <v>40415.6362627852</v>
      </c>
      <c r="C191" s="34" t="n">
        <f aca="false">C190*(1+Inputs!$B$23)+MAX(C127-C95,0)</f>
        <v>26246.955331925</v>
      </c>
      <c r="D191" s="34" t="n">
        <f aca="false">D190*(1+Inputs!$B$23)+MAX(D127-D95,0)</f>
        <v>12968.7452834512</v>
      </c>
      <c r="E191" s="34" t="n">
        <f aca="false">E190*(1+Inputs!$B$23)+MAX(E127-E95,0)</f>
        <v>2433.49938717179</v>
      </c>
      <c r="F191" s="34" t="n">
        <f aca="false">F190*(1+Inputs!$B$23)+MAX(F127-F95,0)</f>
        <v>0</v>
      </c>
      <c r="G191" s="34" t="n">
        <f aca="false">G190*(1+Inputs!$B$23)+MAX(G127-G95,0)</f>
        <v>0</v>
      </c>
      <c r="H191" s="34" t="n">
        <f aca="false">H190*(1+Inputs!$B$23)+MAX(H127-H95,0)</f>
        <v>0</v>
      </c>
    </row>
    <row r="192" customFormat="false" ht="15" hidden="true" customHeight="true" outlineLevel="0" collapsed="false">
      <c r="B192" s="34" t="n">
        <f aca="false">B191*(1+Inputs!$B$23)+MAX(B128-B96,0)</f>
        <v>53115.3042495404</v>
      </c>
      <c r="C192" s="34" t="n">
        <f aca="false">C191*(1+Inputs!$B$23)+MAX(C128-C96,0)</f>
        <v>36002.3954491637</v>
      </c>
      <c r="D192" s="34" t="n">
        <f aca="false">D191*(1+Inputs!$B$23)+MAX(D128-D96,0)</f>
        <v>19374.8788199477</v>
      </c>
      <c r="E192" s="34" t="n">
        <f aca="false">E191*(1+Inputs!$B$23)+MAX(E128-E96,0)</f>
        <v>5102.0387462587</v>
      </c>
      <c r="F192" s="34" t="n">
        <f aca="false">F191*(1+Inputs!$B$23)+MAX(F128-F96,0)</f>
        <v>0</v>
      </c>
      <c r="G192" s="34" t="n">
        <f aca="false">G191*(1+Inputs!$B$23)+MAX(G128-G96,0)</f>
        <v>0</v>
      </c>
      <c r="H192" s="34" t="n">
        <f aca="false">H191*(1+Inputs!$B$23)+MAX(H128-H96,0)</f>
        <v>0</v>
      </c>
    </row>
    <row r="193" customFormat="false" ht="15" hidden="true" customHeight="true" outlineLevel="0" collapsed="false">
      <c r="B193" s="34" t="n">
        <f aca="false">B192*(1+Inputs!$B$23)+MAX(B129-B97,0)</f>
        <v>68001.0822219273</v>
      </c>
      <c r="C193" s="34" t="n">
        <f aca="false">C192*(1+Inputs!$B$23)+MAX(C129-C97,0)</f>
        <v>47656.2398097265</v>
      </c>
      <c r="D193" s="34" t="n">
        <f aca="false">D192*(1+Inputs!$B$23)+MAX(D129-D97,0)</f>
        <v>27316.3538552306</v>
      </c>
      <c r="E193" s="34" t="n">
        <f aca="false">E192*(1+Inputs!$B$23)+MAX(E129-E97,0)</f>
        <v>8851.92136086337</v>
      </c>
      <c r="F193" s="34" t="n">
        <f aca="false">F192*(1+Inputs!$B$23)+MAX(F129-F97,0)</f>
        <v>0</v>
      </c>
      <c r="G193" s="34" t="n">
        <f aca="false">G192*(1+Inputs!$B$23)+MAX(G129-G97,0)</f>
        <v>0</v>
      </c>
      <c r="H193" s="34" t="n">
        <f aca="false">H192*(1+Inputs!$B$23)+MAX(H129-H97,0)</f>
        <v>0</v>
      </c>
    </row>
    <row r="194" customFormat="false" ht="15" hidden="true" customHeight="true" outlineLevel="0" collapsed="false">
      <c r="B194" s="34" t="n">
        <f aca="false">B193*(1+Inputs!$B$23)+MAX(B130-B98,0)</f>
        <v>85246.8606762768</v>
      </c>
      <c r="C194" s="34" t="n">
        <f aca="false">C193*(1+Inputs!$B$23)+MAX(C130-C98,0)</f>
        <v>61364.0060447044</v>
      </c>
      <c r="D194" s="34" t="n">
        <f aca="false">D193*(1+Inputs!$B$23)+MAX(D130-D98,0)</f>
        <v>36922.5516480231</v>
      </c>
      <c r="E194" s="34" t="n">
        <f aca="false">E193*(1+Inputs!$B$23)+MAX(E130-E98,0)</f>
        <v>13775.664753136</v>
      </c>
      <c r="F194" s="34" t="n">
        <f aca="false">F193*(1+Inputs!$B$23)+MAX(F130-F98,0)</f>
        <v>0</v>
      </c>
      <c r="G194" s="34" t="n">
        <f aca="false">G193*(1+Inputs!$B$23)+MAX(G130-G98,0)</f>
        <v>0</v>
      </c>
      <c r="H194" s="34" t="n">
        <f aca="false">H193*(1+Inputs!$B$23)+MAX(H130-H98,0)</f>
        <v>0</v>
      </c>
    </row>
    <row r="195" customFormat="false" ht="15" hidden="true" customHeight="true" outlineLevel="0" collapsed="false">
      <c r="B195" s="34" t="n">
        <f aca="false">B194*(1+Inputs!$B$23)+MAX(B131-B99,0)</f>
        <v>105038.245255615</v>
      </c>
      <c r="C195" s="34" t="n">
        <f aca="false">C194*(1+Inputs!$B$23)+MAX(C131-C99,0)</f>
        <v>77291.8134547624</v>
      </c>
      <c r="D195" s="34" t="n">
        <f aca="false">D194*(1+Inputs!$B$23)+MAX(D131-D99,0)</f>
        <v>48331.78878692</v>
      </c>
      <c r="E195" s="34" t="n">
        <f aca="false">E194*(1+Inputs!$B$23)+MAX(E131-E99,0)</f>
        <v>19972.1666043606</v>
      </c>
      <c r="F195" s="34" t="n">
        <f aca="false">F194*(1+Inputs!$B$23)+MAX(F131-F99,0)</f>
        <v>589.482778505626</v>
      </c>
      <c r="G195" s="34" t="n">
        <f aca="false">G194*(1+Inputs!$B$23)+MAX(G131-G99,0)</f>
        <v>0</v>
      </c>
      <c r="H195" s="34" t="n">
        <f aca="false">H194*(1+Inputs!$B$23)+MAX(H131-H99,0)</f>
        <v>0</v>
      </c>
    </row>
    <row r="196" customFormat="false" ht="15" hidden="true" customHeight="true" outlineLevel="0" collapsed="false">
      <c r="B196" s="34" t="n">
        <f aca="false">B195*(1+Inputs!$B$23)+MAX(B132-B100,0)</f>
        <v>127573.298109973</v>
      </c>
      <c r="C196" s="34" t="n">
        <f aca="false">C195*(1+Inputs!$B$23)+MAX(C132-C100,0)</f>
        <v>95617.0574507697</v>
      </c>
      <c r="D196" s="34" t="n">
        <f aca="false">D195*(1+Inputs!$B$23)+MAX(D132-D100,0)</f>
        <v>61691.8895764354</v>
      </c>
      <c r="E196" s="34" t="n">
        <f aca="false">E195*(1+Inputs!$B$23)+MAX(E132-E100,0)</f>
        <v>27547.1124377365</v>
      </c>
      <c r="F196" s="34" t="n">
        <f aca="false">F195*(1+Inputs!$B$23)+MAX(F132-F100,0)</f>
        <v>1846.59211757105</v>
      </c>
      <c r="G196" s="34" t="n">
        <f aca="false">G195*(1+Inputs!$B$23)+MAX(G132-G100,0)</f>
        <v>0</v>
      </c>
      <c r="H196" s="34" t="n">
        <f aca="false">H195*(1+Inputs!$B$23)+MAX(H132-H100,0)</f>
        <v>0</v>
      </c>
    </row>
    <row r="197" customFormat="false" ht="15" hidden="true" customHeight="true" outlineLevel="0" collapsed="false">
      <c r="B197" s="34" t="n">
        <f aca="false">B196*(1+Inputs!$B$23)+MAX(B133-B101,0)</f>
        <v>153063.324891861</v>
      </c>
      <c r="C197" s="34" t="n">
        <f aca="false">C196*(1+Inputs!$B$23)+MAX(C133-C101,0)</f>
        <v>116529.125613302</v>
      </c>
      <c r="D197" s="34" t="n">
        <f aca="false">D196*(1+Inputs!$B$23)+MAX(D133-D101,0)</f>
        <v>77160.7938760549</v>
      </c>
      <c r="E197" s="34" t="n">
        <f aca="false">E196*(1+Inputs!$B$23)+MAX(E133-E101,0)</f>
        <v>36613.4085083252</v>
      </c>
      <c r="F197" s="34" t="n">
        <f aca="false">F196*(1+Inputs!$B$23)+MAX(F133-F101,0)</f>
        <v>3821.11406258124</v>
      </c>
      <c r="G197" s="34" t="n">
        <f aca="false">G196*(1+Inputs!$B$23)+MAX(G133-G101,0)</f>
        <v>0</v>
      </c>
      <c r="H197" s="34" t="n">
        <f aca="false">H196*(1+Inputs!$B$23)+MAX(H133-H101,0)</f>
        <v>0</v>
      </c>
    </row>
    <row r="198" customFormat="false" ht="15" hidden="true" customHeight="true" outlineLevel="0" collapsed="false">
      <c r="B198" s="34" t="n">
        <f aca="false">B197*(1+Inputs!$B$23)+MAX(B134-B102,0)</f>
        <v>181733.710159617</v>
      </c>
      <c r="C198" s="34" t="n">
        <f aca="false">C197*(1+Inputs!$B$23)+MAX(C134-C102,0)</f>
        <v>140230.157902744</v>
      </c>
      <c r="D198" s="34" t="n">
        <f aca="false">D197*(1+Inputs!$B$23)+MAX(D134-D102,0)</f>
        <v>94907.2025532019</v>
      </c>
      <c r="E198" s="34" t="n">
        <f aca="false">E197*(1+Inputs!$B$23)+MAX(E134-E102,0)</f>
        <v>47291.6414349759</v>
      </c>
      <c r="F198" s="34" t="n">
        <f aca="false">F197*(1+Inputs!$B$23)+MAX(F134-F102,0)</f>
        <v>6565.74410415423</v>
      </c>
      <c r="G198" s="34" t="n">
        <f aca="false">G197*(1+Inputs!$B$23)+MAX(G134-G102,0)</f>
        <v>0</v>
      </c>
      <c r="H198" s="34" t="n">
        <f aca="false">H197*(1+Inputs!$B$23)+MAX(H134-H102,0)</f>
        <v>0</v>
      </c>
    </row>
    <row r="199" customFormat="false" ht="15" hidden="true" customHeight="true" outlineLevel="0" collapsed="false">
      <c r="B199" s="34" t="n">
        <f aca="false">B198*(1+Inputs!$B$23)+MAX(B135-B103,0)</f>
        <v>213824.804128762</v>
      </c>
      <c r="C199" s="34" t="n">
        <f aca="false">C198*(1+Inputs!$B$23)+MAX(C135-C103,0)</f>
        <v>166935.85370466</v>
      </c>
      <c r="D199" s="34" t="n">
        <f aca="false">D198*(1+Inputs!$B$23)+MAX(D135-D103,0)</f>
        <v>115111.262841709</v>
      </c>
      <c r="E199" s="34" t="n">
        <f aca="false">E198*(1+Inputs!$B$23)+MAX(E135-E103,0)</f>
        <v>59710.566201807</v>
      </c>
      <c r="F199" s="34" t="n">
        <f aca="false">F198*(1+Inputs!$B$23)+MAX(F135-F103,0)</f>
        <v>10136.2446304887</v>
      </c>
      <c r="G199" s="34" t="n">
        <f aca="false">G198*(1+Inputs!$B$23)+MAX(G135-G103,0)</f>
        <v>0</v>
      </c>
      <c r="H199" s="34" t="n">
        <f aca="false">H198*(1+Inputs!$B$23)+MAX(H135-H103,0)</f>
        <v>0</v>
      </c>
    </row>
    <row r="200" customFormat="false" ht="15" hidden="true" customHeight="true" outlineLevel="0" collapsed="false">
      <c r="B200" s="34" t="n">
        <f aca="false">B199*(1+Inputs!$B$23)+MAX(B136-B104,0)</f>
        <v>249592.863888941</v>
      </c>
      <c r="C200" s="34" t="n">
        <f aca="false">C199*(1+Inputs!$B$23)+MAX(C136-C104,0)</f>
        <v>196876.328557257</v>
      </c>
      <c r="D200" s="34" t="n">
        <f aca="false">D199*(1+Inputs!$B$23)+MAX(D136-D104,0)</f>
        <v>137965.296035925</v>
      </c>
      <c r="E200" s="34" t="n">
        <f aca="false">E199*(1+Inputs!$B$23)+MAX(E136-E104,0)</f>
        <v>74007.6242551668</v>
      </c>
      <c r="F200" s="34" t="n">
        <f aca="false">F199*(1+Inputs!$B$23)+MAX(F136-F104,0)</f>
        <v>14591.6107221079</v>
      </c>
      <c r="G200" s="34" t="n">
        <f aca="false">G199*(1+Inputs!$B$23)+MAX(G136-G104,0)</f>
        <v>0</v>
      </c>
      <c r="H200" s="34" t="n">
        <f aca="false">H199*(1+Inputs!$B$23)+MAX(H136-H104,0)</f>
        <v>0</v>
      </c>
    </row>
    <row r="201" customFormat="false" ht="15" hidden="true" customHeight="true" outlineLevel="0" collapsed="false"/>
    <row r="202" customFormat="false" ht="15" hidden="true" customHeight="true" outlineLevel="0" collapsed="false">
      <c r="A202" s="33" t="s">
        <v>97</v>
      </c>
      <c r="B202" s="34" t="n">
        <f aca="false">B10*(1-Inputs!$B$14)-B42+B170-B138</f>
        <v>-38619</v>
      </c>
      <c r="C202" s="34" t="n">
        <f aca="false">C10*(1-Inputs!$B$14)-C42+C170-C138</f>
        <v>-38619</v>
      </c>
      <c r="D202" s="34" t="n">
        <f aca="false">D10*(1-Inputs!$B$14)-D42+D170-D138</f>
        <v>-38619</v>
      </c>
      <c r="E202" s="34" t="n">
        <f aca="false">E10*(1-Inputs!$B$14)-E42+E170-E138</f>
        <v>-38619</v>
      </c>
      <c r="F202" s="34" t="n">
        <f aca="false">F10*(1-Inputs!$B$14)-F42+F170-F138</f>
        <v>-38619</v>
      </c>
      <c r="G202" s="34" t="n">
        <f aca="false">G10*(1-Inputs!$B$14)-G42+G170-G138</f>
        <v>-38619</v>
      </c>
      <c r="H202" s="34" t="n">
        <f aca="false">H10*(1-Inputs!$B$14)-H42+H170-H138</f>
        <v>-38619</v>
      </c>
    </row>
    <row r="203" customFormat="false" ht="15" hidden="true" customHeight="true" outlineLevel="0" collapsed="false">
      <c r="B203" s="34" t="n">
        <f aca="false">B11*(1-Inputs!$B$14)-B43+B171-B139</f>
        <v>-52915.6970698949</v>
      </c>
      <c r="C203" s="34" t="n">
        <f aca="false">C11*(1-Inputs!$B$14)-C43+C171-C139</f>
        <v>-48882.1570698949</v>
      </c>
      <c r="D203" s="34" t="n">
        <f aca="false">D11*(1-Inputs!$B$14)-D43+D171-D139</f>
        <v>-44848.6170698949</v>
      </c>
      <c r="E203" s="34" t="n">
        <f aca="false">E11*(1-Inputs!$B$14)-E43+E171-E139</f>
        <v>-40815.0770698949</v>
      </c>
      <c r="F203" s="34" t="n">
        <f aca="false">F11*(1-Inputs!$B$14)-F43+F171-F139</f>
        <v>-36781.5370698949</v>
      </c>
      <c r="G203" s="34" t="n">
        <f aca="false">G11*(1-Inputs!$B$14)-G43+G171-G139</f>
        <v>-32747.9970698949</v>
      </c>
      <c r="H203" s="34" t="n">
        <f aca="false">H11*(1-Inputs!$B$14)-H43+H171-H139</f>
        <v>-28714.4570698949</v>
      </c>
    </row>
    <row r="204" customFormat="false" ht="15" hidden="true" customHeight="true" outlineLevel="0" collapsed="false">
      <c r="B204" s="34" t="n">
        <f aca="false">B12*(1-Inputs!$B$14)-B44+B172-B140</f>
        <v>-67254.1749639835</v>
      </c>
      <c r="C204" s="34" t="n">
        <f aca="false">C12*(1-Inputs!$B$14)-C44+C172-C140</f>
        <v>-59236.8705639835</v>
      </c>
      <c r="D204" s="34" t="n">
        <f aca="false">D12*(1-Inputs!$B$14)-D44+D172-D140</f>
        <v>-51138.8953639835</v>
      </c>
      <c r="E204" s="34" t="n">
        <f aca="false">E12*(1-Inputs!$B$14)-E44+E172-E140</f>
        <v>-42960.2493639835</v>
      </c>
      <c r="F204" s="34" t="n">
        <f aca="false">F12*(1-Inputs!$B$14)-F44+F172-F140</f>
        <v>-34700.9325639836</v>
      </c>
      <c r="G204" s="34" t="n">
        <f aca="false">G12*(1-Inputs!$B$14)-G44+G172-G140</f>
        <v>-26360.9449639836</v>
      </c>
      <c r="H204" s="34" t="n">
        <f aca="false">H12*(1-Inputs!$B$14)-H44+H172-H140</f>
        <v>-17940.2865639835</v>
      </c>
    </row>
    <row r="205" customFormat="false" ht="15" hidden="true" customHeight="true" outlineLevel="0" collapsed="false">
      <c r="B205" s="34" t="n">
        <f aca="false">B13*(1-Inputs!$B$14)-B45+B173-B141</f>
        <v>-81610.2045317174</v>
      </c>
      <c r="C205" s="34" t="n">
        <f aca="false">C13*(1-Inputs!$B$14)-C45+C173-C141</f>
        <v>-69664.8157477174</v>
      </c>
      <c r="D205" s="34" t="n">
        <f aca="false">D13*(1-Inputs!$B$14)-D45+D173-D141</f>
        <v>-57476.7966597174</v>
      </c>
      <c r="E205" s="34" t="n">
        <f aca="false">E13*(1-Inputs!$B$14)-E45+E173-E141</f>
        <v>-45043.7271437174</v>
      </c>
      <c r="F205" s="34" t="n">
        <f aca="false">F13*(1-Inputs!$B$14)-F45+F173-F141</f>
        <v>-32363.1870757174</v>
      </c>
      <c r="G205" s="34" t="n">
        <f aca="false">G13*(1-Inputs!$B$14)-G45+G173-G141</f>
        <v>-19432.7563317174</v>
      </c>
      <c r="H205" s="34" t="n">
        <f aca="false">H13*(1-Inputs!$B$14)-H45+H173-H141</f>
        <v>-6250.01478771734</v>
      </c>
    </row>
    <row r="206" customFormat="false" ht="15" hidden="true" customHeight="true" outlineLevel="0" collapsed="false">
      <c r="B206" s="34" t="n">
        <f aca="false">B14*(1-Inputs!$B$14)-B46+B174-B142</f>
        <v>-95957.0652875154</v>
      </c>
      <c r="C206" s="34" t="n">
        <f aca="false">C14*(1-Inputs!$B$14)-C46+C174-C142</f>
        <v>-80145.5599952753</v>
      </c>
      <c r="D206" s="34" t="n">
        <f aca="false">D14*(1-Inputs!$B$14)-D46+D174-D142</f>
        <v>-63847.6640172754</v>
      </c>
      <c r="E206" s="34" t="n">
        <f aca="false">E14*(1-Inputs!$B$14)-E46+E174-E142</f>
        <v>-47053.6057166755</v>
      </c>
      <c r="F206" s="34" t="n">
        <f aca="false">F14*(1-Inputs!$B$14)-F46+F174-F142</f>
        <v>-29753.5166516754</v>
      </c>
      <c r="G206" s="34" t="n">
        <f aca="false">G14*(1-Inputs!$B$14)-G46+G174-G142</f>
        <v>-11937.4315755154</v>
      </c>
      <c r="H206" s="34" t="n">
        <f aca="false">H14*(1-Inputs!$B$14)-H46+H174-H142</f>
        <v>6404.71156352473</v>
      </c>
    </row>
    <row r="207" customFormat="false" ht="15" hidden="true" customHeight="true" outlineLevel="0" collapsed="false">
      <c r="B207" s="34" t="n">
        <f aca="false">B15*(1-Inputs!$B$14)-B47+B175-B143</f>
        <v>-110265.473461081</v>
      </c>
      <c r="C207" s="34" t="n">
        <f aca="false">C15*(1-Inputs!$B$14)-C47+C175-C143</f>
        <v>-90656.5141382947</v>
      </c>
      <c r="D207" s="34" t="n">
        <f aca="false">D15*(1-Inputs!$B$14)-D47+D175-D143</f>
        <v>-70235.2062101884</v>
      </c>
      <c r="E207" s="34" t="n">
        <f aca="false">E15*(1-Inputs!$B$14)-E47+E175-E143</f>
        <v>-48976.8931702441</v>
      </c>
      <c r="F207" s="34" t="n">
        <f aca="false">F15*(1-Inputs!$B$14)-F47+F175-F143</f>
        <v>-26856.4269693116</v>
      </c>
      <c r="G207" s="34" t="n">
        <f aca="false">G15*(1-Inputs!$B$14)-G47+G175-G143</f>
        <v>-3848.1631753612</v>
      </c>
      <c r="H207" s="34" t="n">
        <f aca="false">H15*(1-Inputs!$B$14)-H47+H175-H143</f>
        <v>20074.0438667654</v>
      </c>
    </row>
    <row r="208" customFormat="false" ht="15" hidden="true" customHeight="true" outlineLevel="0" collapsed="false">
      <c r="B208" s="34" t="n">
        <f aca="false">B16*(1-Inputs!$B$14)-B48+B176-B144</f>
        <v>-124503.294510654</v>
      </c>
      <c r="C208" s="34" t="n">
        <f aca="false">C16*(1-Inputs!$B$14)-C48+C176-C144</f>
        <v>-101172.669678358</v>
      </c>
      <c r="D208" s="34" t="n">
        <f aca="false">D16*(1-Inputs!$B$14)-D48+D176-D144</f>
        <v>-76621.27008218</v>
      </c>
      <c r="E208" s="34" t="n">
        <f aca="false">E16*(1-Inputs!$B$14)-E48+E176-E144</f>
        <v>-50799.329062247</v>
      </c>
      <c r="F208" s="34" t="n">
        <f aca="false">F16*(1-Inputs!$B$14)-F48+F176-F144</f>
        <v>-23655.5824940875</v>
      </c>
      <c r="G208" s="34" t="n">
        <f aca="false">G16*(1-Inputs!$B$14)-G48+G176-G144</f>
        <v>4862.7608707597</v>
      </c>
      <c r="H208" s="34" t="n">
        <f aca="false">H16*(1-Inputs!$B$14)-H48+H176-H144</f>
        <v>34810.0493545524</v>
      </c>
    </row>
    <row r="209" customFormat="false" ht="15" hidden="true" customHeight="true" outlineLevel="0" collapsed="false">
      <c r="B209" s="34" t="n">
        <f aca="false">B17*(1-Inputs!$B$14)-B49+B177-B145</f>
        <v>-138635.369748361</v>
      </c>
      <c r="C209" s="34" t="n">
        <f aca="false">C17*(1-Inputs!$B$14)-C49+C177-C145</f>
        <v>-111666.451596484</v>
      </c>
      <c r="D209" s="34" t="n">
        <f aca="false">D17*(1-Inputs!$B$14)-D49+D177-D145</f>
        <v>-82985.730688801</v>
      </c>
      <c r="E209" s="34" t="n">
        <f aca="false">E17*(1-Inputs!$B$14)-E49+E177-E145</f>
        <v>-52505.3241227269</v>
      </c>
      <c r="F209" s="34" t="n">
        <f aca="false">F17*(1-Inputs!$B$14)-F49+F177-F145</f>
        <v>-20133.8009660985</v>
      </c>
      <c r="G209" s="34" t="n">
        <f aca="false">G17*(1-Inputs!$B$14)-G49+G177-G145</f>
        <v>14223.9237584149</v>
      </c>
      <c r="H209" s="34" t="n">
        <f aca="false">H17*(1-Inputs!$B$14)-H49+H177-H145</f>
        <v>50666.6971763077</v>
      </c>
    </row>
    <row r="210" customFormat="false" ht="15" hidden="true" customHeight="true" outlineLevel="0" collapsed="false">
      <c r="B210" s="34" t="n">
        <f aca="false">B18*(1-Inputs!$B$14)-B50+B178-B146</f>
        <v>-152623.266705245</v>
      </c>
      <c r="C210" s="34" t="n">
        <f aca="false">C18*(1-Inputs!$B$14)-C50+C178-C146</f>
        <v>-122107.496476316</v>
      </c>
      <c r="D210" s="34" t="n">
        <f aca="false">D18*(1-Inputs!$B$14)-D50+D178-D146</f>
        <v>-89306.3090734269</v>
      </c>
      <c r="E210" s="34" t="n">
        <f aca="false">E18*(1-Inputs!$B$14)-E50+E178-E146</f>
        <v>-54077.8310242412</v>
      </c>
      <c r="F210" s="34" t="n">
        <f aca="false">F18*(1-Inputs!$B$14)-F50+F178-F146</f>
        <v>-16272.9835895575</v>
      </c>
      <c r="G210" s="34" t="n">
        <f aca="false">G18*(1-Inputs!$B$14)-G50+G178-G146</f>
        <v>24264.8059545381</v>
      </c>
      <c r="H210" s="34" t="n">
        <f aca="false">H18*(1-Inputs!$B$14)-H50+H178-H146</f>
        <v>67699.901608106</v>
      </c>
    </row>
    <row r="211" customFormat="false" ht="15" hidden="true" customHeight="true" outlineLevel="0" collapsed="false">
      <c r="B211" s="34" t="n">
        <f aca="false">B19*(1-Inputs!$B$14)-B51+B179-B147</f>
        <v>-166425.032840606</v>
      </c>
      <c r="C211" s="34" t="n">
        <f aca="false">C19*(1-Inputs!$B$14)-C51+C179-C147</f>
        <v>-132462.435640121</v>
      </c>
      <c r="D211" s="34" t="n">
        <f aca="false">D19*(1-Inputs!$B$14)-D51+D179-D147</f>
        <v>-95558.3975176193</v>
      </c>
      <c r="E211" s="34" t="n">
        <f aca="false">E19*(1-Inputs!$B$14)-E51+E179-E147</f>
        <v>-55498.2262813739</v>
      </c>
      <c r="F211" s="34" t="n">
        <f aca="false">F19*(1-Inputs!$B$14)-F51+F179-F147</f>
        <v>-12054.061323227</v>
      </c>
      <c r="G211" s="34" t="n">
        <f aca="false">G19*(1-Inputs!$B$14)-G51+G179-G147</f>
        <v>35015.7897984961</v>
      </c>
      <c r="H211" s="34" t="n">
        <f aca="false">H19*(1-Inputs!$B$14)-H51+H179-H147</f>
        <v>85967.5411871419</v>
      </c>
    </row>
    <row r="212" customFormat="false" ht="15" hidden="true" customHeight="true" outlineLevel="0" collapsed="false">
      <c r="B212" s="34" t="n">
        <f aca="false">B20*(1-Inputs!$B$14)-B52+B180-B148</f>
        <v>-179994.942175982</v>
      </c>
      <c r="C212" s="34" t="n">
        <f aca="false">C20*(1-Inputs!$B$14)-C52+C180-C148</f>
        <v>-142694.672978071</v>
      </c>
      <c r="D212" s="34" t="n">
        <f aca="false">D20*(1-Inputs!$B$14)-D52+D180-D148</f>
        <v>-101714.882095692</v>
      </c>
      <c r="E212" s="34" t="n">
        <f aca="false">E20*(1-Inputs!$B$14)-E52+E180-E148</f>
        <v>-56746.1933437081</v>
      </c>
      <c r="F212" s="34" t="n">
        <f aca="false">F20*(1-Inputs!$B$14)-F52+F180-F148</f>
        <v>-7456.94769622095</v>
      </c>
      <c r="G212" s="34" t="n">
        <f aca="false">G20*(1-Inputs!$B$14)-G52+G180-G148</f>
        <v>46508.1517221838</v>
      </c>
      <c r="H212" s="34" t="n">
        <f aca="false">H20*(1-Inputs!$B$14)-H52+H180-H148</f>
        <v>105529.462445961</v>
      </c>
    </row>
    <row r="213" customFormat="false" ht="15" hidden="true" customHeight="true" outlineLevel="0" collapsed="false">
      <c r="B213" s="34" t="n">
        <f aca="false">B21*(1-Inputs!$B$14)-B53+B181-B149</f>
        <v>-193283.204408333</v>
      </c>
      <c r="C213" s="34" t="n">
        <f aca="false">C21*(1-Inputs!$B$14)-C53+C181-C149</f>
        <v>-152764.127131495</v>
      </c>
      <c r="D213" s="34" t="n">
        <f aca="false">D21*(1-Inputs!$B$14)-D53+D181-D149</f>
        <v>-107745.932352543</v>
      </c>
      <c r="E213" s="34" t="n">
        <f aca="false">E21*(1-Inputs!$B$14)-E53+E181-E149</f>
        <v>-57799.5769502491</v>
      </c>
      <c r="F213" s="34" t="n">
        <f aca="false">F21*(1-Inputs!$B$14)-F53+F181-F149</f>
        <v>-2460.4686015927</v>
      </c>
      <c r="G213" s="34" t="n">
        <f aca="false">G21*(1-Inputs!$B$14)-G53+G181-G149</f>
        <v>58774.0711194771</v>
      </c>
      <c r="H213" s="34" t="n">
        <f aca="false">H21*(1-Inputs!$B$14)-H53+H181-H149</f>
        <v>126447.49681261</v>
      </c>
    </row>
    <row r="214" customFormat="false" ht="15" hidden="true" customHeight="true" outlineLevel="0" collapsed="false">
      <c r="B214" s="34" t="n">
        <f aca="false">B22*(1-Inputs!$B$14)-B54+B182-B150</f>
        <v>-206235.656029582</v>
      </c>
      <c r="C214" s="34" t="n">
        <f aca="false">C22*(1-Inputs!$B$14)-C54+C182-C150</f>
        <v>-162626.957669811</v>
      </c>
      <c r="D214" s="34" t="n">
        <f aca="false">D22*(1-Inputs!$B$14)-D54+D182-D150</f>
        <v>-113618.777912348</v>
      </c>
      <c r="E214" s="34" t="n">
        <f aca="false">E22*(1-Inputs!$B$14)-E54+E182-E150</f>
        <v>-58634.2288172632</v>
      </c>
      <c r="F214" s="34" t="n">
        <f aca="false">F22*(1-Inputs!$B$14)-F54+F182-F150</f>
        <v>2957.7104500843</v>
      </c>
      <c r="G214" s="34" t="n">
        <f aca="false">G22*(1-Inputs!$B$14)-G54+G182-G150</f>
        <v>71846.6348254389</v>
      </c>
      <c r="H214" s="34" t="n">
        <f aca="false">H22*(1-Inputs!$B$14)-H54+H182-H150</f>
        <v>148785.469125602</v>
      </c>
    </row>
    <row r="215" customFormat="false" ht="15" hidden="true" customHeight="true" outlineLevel="0" collapsed="false">
      <c r="B215" s="34" t="n">
        <f aca="false">B23*(1-Inputs!$B$14)-B55+B183-B151</f>
        <v>-218793.432950711</v>
      </c>
      <c r="C215" s="34" t="n">
        <f aca="false">C23*(1-Inputs!$B$14)-C55+C183-C151</f>
        <v>-172235.274878569</v>
      </c>
      <c r="D215" s="34" t="n">
        <f aca="false">D23*(1-Inputs!$B$14)-D55+D183-D151</f>
        <v>-119297.471813584</v>
      </c>
      <c r="E215" s="34" t="n">
        <f aca="false">E23*(1-Inputs!$B$14)-E55+E183-E151</f>
        <v>-59223.8447357015</v>
      </c>
      <c r="F215" s="34" t="n">
        <f aca="false">F23*(1-Inputs!$B$14)-F55+F183-F151</f>
        <v>8821.15910323692</v>
      </c>
      <c r="G215" s="34" t="n">
        <f aca="false">G23*(1-Inputs!$B$14)-G55+G183-G151</f>
        <v>85759.8360909299</v>
      </c>
      <c r="H215" s="34" t="n">
        <f aca="false">H23*(1-Inputs!$B$14)-H55+H183-H151</f>
        <v>172609.196086426</v>
      </c>
    </row>
    <row r="216" customFormat="false" ht="15" hidden="true" customHeight="true" outlineLevel="0" collapsed="false">
      <c r="B216" s="34" t="n">
        <f aca="false">B24*(1-Inputs!$B$14)-B56+B184-B152</f>
        <v>-230892.614097791</v>
      </c>
      <c r="C216" s="34" t="n">
        <f aca="false">C24*(1-Inputs!$B$14)-C56+C184-C152</f>
        <v>-181536.822752428</v>
      </c>
      <c r="D216" s="34" t="n">
        <f aca="false">D24*(1-Inputs!$B$14)-D56+D184-D152</f>
        <v>-124742.630352922</v>
      </c>
      <c r="E216" s="34" t="n">
        <f aca="false">E24*(1-Inputs!$B$14)-E56+E184-E152</f>
        <v>-59539.7831588311</v>
      </c>
      <c r="F216" s="34" t="n">
        <f aca="false">F24*(1-Inputs!$B$14)-F56+F184-F152</f>
        <v>15154.7684083151</v>
      </c>
      <c r="G216" s="34" t="n">
        <f aca="false">G24*(1-Inputs!$B$14)-G56+G184-G152</f>
        <v>100548.576858433</v>
      </c>
      <c r="H216" s="34" t="n">
        <f aca="false">H24*(1-Inputs!$B$14)-H56+H184-H152</f>
        <v>197986.482836575</v>
      </c>
    </row>
    <row r="217" customFormat="false" ht="15" hidden="true" customHeight="true" outlineLevel="0" collapsed="false">
      <c r="B217" s="34" t="n">
        <f aca="false">B25*(1-Inputs!$B$14)-B57+B185-B153</f>
        <v>-242463.875414701</v>
      </c>
      <c r="C217" s="34" t="n">
        <f aca="false">C25*(1-Inputs!$B$14)-C57+C185-C153</f>
        <v>-190474.674761834</v>
      </c>
      <c r="D217" s="34" t="n">
        <f aca="false">D25*(1-Inputs!$B$14)-D57+D185-D153</f>
        <v>-129911.189206834</v>
      </c>
      <c r="E217" s="34" t="n">
        <f aca="false">E25*(1-Inputs!$B$14)-E57+E185-E153</f>
        <v>-59550.9053654213</v>
      </c>
      <c r="F217" s="34" t="n">
        <f aca="false">F25*(1-Inputs!$B$14)-F57+F185-F153</f>
        <v>21984.8079678506</v>
      </c>
      <c r="G217" s="34" t="n">
        <f aca="false">G25*(1-Inputs!$B$14)-G57+G185-G153</f>
        <v>116248.632059585</v>
      </c>
      <c r="H217" s="34" t="n">
        <f aca="false">H25*(1-Inputs!$B$14)-H57+H185-H153</f>
        <v>224987.075700029</v>
      </c>
    </row>
    <row r="218" customFormat="false" ht="15" hidden="true" customHeight="true" outlineLevel="0" collapsed="false">
      <c r="B218" s="34" t="n">
        <f aca="false">B26*(1-Inputs!$B$14)-B58+B186-B154</f>
        <v>-253432.043672659</v>
      </c>
      <c r="C218" s="34" t="n">
        <f aca="false">C26*(1-Inputs!$B$14)-C58+C186-C154</f>
        <v>-198986.831935571</v>
      </c>
      <c r="D218" s="34" t="n">
        <f aca="false">D26*(1-Inputs!$B$14)-D58+D186-D154</f>
        <v>-134756.065585249</v>
      </c>
      <c r="E218" s="34" t="n">
        <f aca="false">E26*(1-Inputs!$B$14)-E58+E186-E154</f>
        <v>-59223.3272888219</v>
      </c>
      <c r="F218" s="34" t="n">
        <f aca="false">F26*(1-Inputs!$B$14)-F58+F186-F154</f>
        <v>29339.0633559669</v>
      </c>
      <c r="G218" s="34" t="n">
        <f aca="false">G26*(1-Inputs!$B$14)-G58+G186-G154</f>
        <v>132896.684563807</v>
      </c>
      <c r="H218" s="34" t="n">
        <f aca="false">H26*(1-Inputs!$B$14)-H58+H186-H154</f>
        <v>253682.678975114</v>
      </c>
    </row>
    <row r="219" customFormat="false" ht="15" hidden="true" customHeight="true" outlineLevel="0" collapsed="false">
      <c r="B219" s="34" t="n">
        <f aca="false">B27*(1-Inputs!$B$14)-B59+B187-B155</f>
        <v>-263715.699449991</v>
      </c>
      <c r="C219" s="34" t="n">
        <f aca="false">C27*(1-Inputs!$B$14)-C59+C187-C155</f>
        <v>-207005.872773177</v>
      </c>
      <c r="D219" s="34" t="n">
        <f aca="false">D27*(1-Inputs!$B$14)-D59+D187-D155</f>
        <v>-139225.876156123</v>
      </c>
      <c r="E219" s="34" t="n">
        <f aca="false">E27*(1-Inputs!$B$14)-E59+E187-E155</f>
        <v>-58520.2331075739</v>
      </c>
      <c r="F219" s="34" t="n">
        <f aca="false">F27*(1-Inputs!$B$14)-F59+F187-F155</f>
        <v>37246.9031491996</v>
      </c>
      <c r="G219" s="34" t="n">
        <f aca="false">G27*(1-Inputs!$B$14)-G59+G187-G155</f>
        <v>150530.279310073</v>
      </c>
      <c r="H219" s="34" t="n">
        <f aca="false">H27*(1-Inputs!$B$14)-H59+H187-H155</f>
        <v>284146.883490777</v>
      </c>
    </row>
    <row r="220" customFormat="false" ht="15" hidden="true" customHeight="true" outlineLevel="0" collapsed="false">
      <c r="B220" s="34" t="n">
        <f aca="false">B28*(1-Inputs!$B$14)-B60+B188-B156</f>
        <v>-273226.708606575</v>
      </c>
      <c r="C220" s="34" t="n">
        <f aca="false">C28*(1-Inputs!$B$14)-C60+C188-C156</f>
        <v>-214458.534471296</v>
      </c>
      <c r="D220" s="34" t="n">
        <f aca="false">D28*(1-Inputs!$B$14)-D60+D188-D156</f>
        <v>-143264.590463437</v>
      </c>
      <c r="E220" s="34" t="n">
        <f aca="false">E28*(1-Inputs!$B$14)-E60+E188-E156</f>
        <v>-57401.6306987969</v>
      </c>
      <c r="F220" s="34" t="n">
        <f aca="false">F28*(1-Inputs!$B$14)-F60+F188-F156</f>
        <v>45739.3948633679</v>
      </c>
      <c r="G220" s="34" t="n">
        <f aca="false">G28*(1-Inputs!$B$14)-G60+G188-G156</f>
        <v>169187.815049973</v>
      </c>
      <c r="H220" s="34" t="n">
        <f aca="false">H28*(1-Inputs!$B$14)-H60+H188-H156</f>
        <v>316455.124460816</v>
      </c>
    </row>
    <row r="221" customFormat="false" ht="15" hidden="true" customHeight="true" outlineLevel="0" collapsed="false">
      <c r="B221" s="34" t="n">
        <f aca="false">B29*(1-Inputs!$B$14)-B61+B189-B157</f>
        <v>-281869.731536144</v>
      </c>
      <c r="C221" s="34" t="n">
        <f aca="false">C29*(1-Inputs!$B$14)-C61+C189-C157</f>
        <v>-221265.274916315</v>
      </c>
      <c r="D221" s="34" t="n">
        <f aca="false">D29*(1-Inputs!$B$14)-D61+D189-D157</f>
        <v>-146811.169543748</v>
      </c>
      <c r="E221" s="34" t="n">
        <f aca="false">E29*(1-Inputs!$B$14)-E61+E189-E157</f>
        <v>-55824.0990615395</v>
      </c>
      <c r="F221" s="34" t="n">
        <f aca="false">F29*(1-Inputs!$B$14)-F61+F189-F157</f>
        <v>54849.4190453875</v>
      </c>
      <c r="G221" s="34" t="n">
        <f aca="false">G29*(1-Inputs!$B$14)-G61+G189-G157</f>
        <v>188908.52201922</v>
      </c>
      <c r="H221" s="34" t="n">
        <f aca="false">H29*(1-Inputs!$B$14)-H61+H189-H157</f>
        <v>350684.615974477</v>
      </c>
    </row>
    <row r="222" customFormat="false" ht="15" hidden="true" customHeight="true" outlineLevel="0" collapsed="false">
      <c r="B222" s="34" t="n">
        <f aca="false">B30*(1-Inputs!$B$14)-B62+B190-B158</f>
        <v>-289541.669435786</v>
      </c>
      <c r="C222" s="34" t="n">
        <f aca="false">C30*(1-Inputs!$B$14)-C62+C190-C158</f>
        <v>-227339.774861969</v>
      </c>
      <c r="D222" s="34" t="n">
        <f aca="false">D30*(1-Inputs!$B$14)-D62+D190-D158</f>
        <v>-149799.149427962</v>
      </c>
      <c r="E222" s="34" t="n">
        <f aca="false">E30*(1-Inputs!$B$14)-E62+E190-E158</f>
        <v>-53740.4878235741</v>
      </c>
      <c r="F222" s="34" t="n">
        <f aca="false">F30*(1-Inputs!$B$14)-F62+F190-F158</f>
        <v>64611.8207201657</v>
      </c>
      <c r="G222" s="34" t="n">
        <f aca="false">G30*(1-Inputs!$B$14)-G62+G190-G158</f>
        <v>209732.463736295</v>
      </c>
      <c r="H222" s="34" t="n">
        <f aca="false">H30*(1-Inputs!$B$14)-H62+H190-H158</f>
        <v>386914.299252211</v>
      </c>
    </row>
    <row r="223" customFormat="false" ht="15" hidden="true" customHeight="true" outlineLevel="0" collapsed="false">
      <c r="B223" s="34" t="n">
        <f aca="false">B31*(1-Inputs!$B$14)-B63+B191-B159</f>
        <v>-296131.136785534</v>
      </c>
      <c r="C223" s="34" t="n">
        <f aca="false">C31*(1-Inputs!$B$14)-C63+C191-C159</f>
        <v>-232588.469674922</v>
      </c>
      <c r="D223" s="34" t="n">
        <f aca="false">D31*(1-Inputs!$B$14)-D63+D191-D159</f>
        <v>-152156.25919544</v>
      </c>
      <c r="E223" s="34" t="n">
        <f aca="false">E31*(1-Inputs!$B$14)-E63+E191-E159</f>
        <v>-51099.6589517844</v>
      </c>
      <c r="F223" s="34" t="n">
        <f aca="false">F31*(1-Inputs!$B$14)-F63+F191-F159</f>
        <v>75063.5073408844</v>
      </c>
      <c r="G223" s="34" t="n">
        <f aca="false">G31*(1-Inputs!$B$14)-G63+G191-G159</f>
        <v>231700.471000437</v>
      </c>
      <c r="H223" s="34" t="n">
        <f aca="false">H31*(1-Inputs!$B$14)-H63+H191-H159</f>
        <v>425224.711570086</v>
      </c>
    </row>
    <row r="224" customFormat="false" ht="15" hidden="true" customHeight="true" outlineLevel="0" collapsed="false">
      <c r="B224" s="34" t="n">
        <f aca="false">B32*(1-Inputs!$B$14)-B64+B192-B160</f>
        <v>-301517.829181678</v>
      </c>
      <c r="C224" s="34" t="n">
        <f aca="false">C32*(1-Inputs!$B$14)-C64+C192-C160</f>
        <v>-236909.979993439</v>
      </c>
      <c r="D224" s="34" t="n">
        <f aca="false">D32*(1-Inputs!$B$14)-D64+D192-D160</f>
        <v>-153803.943226741</v>
      </c>
      <c r="E224" s="34" t="n">
        <f aca="false">E32*(1-Inputs!$B$14)-E64+E192-E160</f>
        <v>-47846.1407933543</v>
      </c>
      <c r="F224" s="34" t="n">
        <f aca="false">F32*(1-Inputs!$B$14)-F64+F192-F160</f>
        <v>86243.6223358794</v>
      </c>
      <c r="G224" s="34" t="n">
        <f aca="false">G32*(1-Inputs!$B$14)-G64+G192-G160</f>
        <v>254854.136026194</v>
      </c>
      <c r="H224" s="34" t="n">
        <f aca="false">H32*(1-Inputs!$B$14)-H64+H192-H160</f>
        <v>465697.902514403</v>
      </c>
    </row>
    <row r="225" customFormat="false" ht="15" hidden="true" customHeight="true" outlineLevel="0" collapsed="false">
      <c r="B225" s="34" t="n">
        <f aca="false">B33*(1-Inputs!$B$14)-B65+B193-B161</f>
        <v>-305571.865615165</v>
      </c>
      <c r="C225" s="34" t="n">
        <f aca="false">C33*(1-Inputs!$B$14)-C65+C193-C161</f>
        <v>-240194.520604131</v>
      </c>
      <c r="D225" s="34" t="n">
        <f aca="false">D33*(1-Inputs!$B$14)-D65+D193-D161</f>
        <v>-154656.867279304</v>
      </c>
      <c r="E225" s="34" t="n">
        <f aca="false">E33*(1-Inputs!$B$14)-E65+E193-E161</f>
        <v>-43919.7745824552</v>
      </c>
      <c r="F225" s="34" t="n">
        <f aca="false">F33*(1-Inputs!$B$14)-F65+F193-F161</f>
        <v>98193.7132867429</v>
      </c>
      <c r="G225" s="34" t="n">
        <f aca="false">G33*(1-Inputs!$B$14)-G65+G193-G161</f>
        <v>279235.784507661</v>
      </c>
      <c r="H225" s="34" t="n">
        <f aca="false">H33*(1-Inputs!$B$14)-H65+H193-H161</f>
        <v>508417.313968152</v>
      </c>
    </row>
    <row r="226" customFormat="false" ht="15" hidden="true" customHeight="true" outlineLevel="0" collapsed="false">
      <c r="B226" s="34" t="n">
        <f aca="false">B34*(1-Inputs!$B$14)-B66+B194-B162</f>
        <v>-308153.124231041</v>
      </c>
      <c r="C226" s="34" t="n">
        <f aca="false">C34*(1-Inputs!$B$14)-C66+C194-C162</f>
        <v>-242323.30679913</v>
      </c>
      <c r="D226" s="34" t="n">
        <f aca="false">D34*(1-Inputs!$B$14)-D66+D194-D162</f>
        <v>-154622.42798693</v>
      </c>
      <c r="E226" s="34" t="n">
        <f aca="false">E34*(1-Inputs!$B$14)-E66+E194-E162</f>
        <v>-39255.3735550506</v>
      </c>
      <c r="F226" s="34" t="n">
        <f aca="false">F34*(1-Inputs!$B$14)-F66+F194-F162</f>
        <v>110957.873710009</v>
      </c>
      <c r="G226" s="34" t="n">
        <f aca="false">G34*(1-Inputs!$B$14)-G66+G194-G162</f>
        <v>304888.403251759</v>
      </c>
      <c r="H226" s="34" t="n">
        <f aca="false">H34*(1-Inputs!$B$14)-H66+H194-H162</f>
        <v>553467.599951874</v>
      </c>
    </row>
    <row r="227" customFormat="false" ht="15" hidden="true" customHeight="true" outlineLevel="0" collapsed="false">
      <c r="B227" s="34" t="n">
        <f aca="false">B35*(1-Inputs!$B$14)-B67+B195-B163</f>
        <v>-309110.480546141</v>
      </c>
      <c r="C227" s="34" t="n">
        <f aca="false">C35*(1-Inputs!$B$14)-C67+C195-C163</f>
        <v>-243167.867430899</v>
      </c>
      <c r="D227" s="34" t="n">
        <f aca="false">D35*(1-Inputs!$B$14)-D67+D195-D163</f>
        <v>-153600.175359124</v>
      </c>
      <c r="E227" s="34" t="n">
        <f aca="false">E35*(1-Inputs!$B$14)-E67+E195-E163</f>
        <v>-33782.3048228341</v>
      </c>
      <c r="F227" s="34" t="n">
        <f aca="false">F35*(1-Inputs!$B$14)-F67+F195-F163</f>
        <v>124582.9473486</v>
      </c>
      <c r="G227" s="34" t="n">
        <f aca="false">G35*(1-Inputs!$B$14)-G67+G195-G163</f>
        <v>331855.61085586</v>
      </c>
      <c r="H227" s="34" t="n">
        <f aca="false">H35*(1-Inputs!$B$14)-H67+H195-H163</f>
        <v>600934.472141823</v>
      </c>
    </row>
    <row r="228" customFormat="false" ht="15" hidden="true" customHeight="true" outlineLevel="0" collapsed="false">
      <c r="B228" s="34" t="n">
        <f aca="false">B36*(1-Inputs!$B$14)-B68+B196-B164</f>
        <v>-308281.007039889</v>
      </c>
      <c r="C228" s="34" t="n">
        <f aca="false">C36*(1-Inputs!$B$14)-C68+C196-C164</f>
        <v>-242589.323833941</v>
      </c>
      <c r="D228" s="34" t="n">
        <f aca="false">D36*(1-Inputs!$B$14)-D68+D196-D164</f>
        <v>-151481.207830024</v>
      </c>
      <c r="E228" s="34" t="n">
        <f aca="false">E36*(1-Inputs!$B$14)-E68+E196-E164</f>
        <v>-27424.0541662223</v>
      </c>
      <c r="F228" s="34" t="n">
        <f aca="false">F36*(1-Inputs!$B$14)-F68+F196-F164</f>
        <v>139118.733808856</v>
      </c>
      <c r="G228" s="34" t="n">
        <f aca="false">G36*(1-Inputs!$B$14)-G68+G196-G164</f>
        <v>360181.60872998</v>
      </c>
      <c r="H228" s="34" t="n">
        <f aca="false">H36*(1-Inputs!$B$14)-H68+H196-H164</f>
        <v>650904.506566673</v>
      </c>
    </row>
    <row r="229" customFormat="false" ht="15" hidden="true" customHeight="true" outlineLevel="0" collapsed="false">
      <c r="B229" s="34" t="n">
        <f aca="false">B37*(1-Inputs!$B$14)-B69+B197-B165</f>
        <v>-305489.112966993</v>
      </c>
      <c r="C229" s="34" t="n">
        <f aca="false">C37*(1-Inputs!$B$14)-C69+C197-C165</f>
        <v>-240437.613731859</v>
      </c>
      <c r="D229" s="34" t="n">
        <f aca="false">D37*(1-Inputs!$B$14)-D69+D197-D165</f>
        <v>-148147.519378678</v>
      </c>
      <c r="E229" s="34" t="n">
        <f aca="false">E37*(1-Inputs!$B$14)-E69+E197-E165</f>
        <v>-20097.7539157376</v>
      </c>
      <c r="F229" s="34" t="n">
        <f aca="false">F37*(1-Inputs!$B$14)-F69+F197-F165</f>
        <v>154618.214304207</v>
      </c>
      <c r="G229" s="34" t="n">
        <f aca="false">G37*(1-Inputs!$B$14)-G69+G197-G165</f>
        <v>389911.129577001</v>
      </c>
      <c r="H229" s="34" t="n">
        <f aca="false">H37*(1-Inputs!$B$14)-H69+H197-H165</f>
        <v>703464.926638721</v>
      </c>
    </row>
    <row r="230" customFormat="false" ht="15" hidden="true" customHeight="true" outlineLevel="0" collapsed="false">
      <c r="B230" s="34" t="n">
        <f aca="false">B38*(1-Inputs!$B$14)-B70+B198-B166</f>
        <v>-300545.653170768</v>
      </c>
      <c r="C230" s="34" t="n">
        <f aca="false">C38*(1-Inputs!$B$14)-C70+C198-C166</f>
        <v>-236550.689194329</v>
      </c>
      <c r="D230" s="34" t="n">
        <f aca="false">D38*(1-Inputs!$B$14)-D70+D198-D166</f>
        <v>-143471.328212779</v>
      </c>
      <c r="E230" s="34" t="n">
        <f aca="false">E38*(1-Inputs!$B$14)-E70+E198-E166</f>
        <v>-11713.7041011131</v>
      </c>
      <c r="F230" s="34" t="n">
        <f aca="false">F38*(1-Inputs!$B$14)-F70+F198-F166</f>
        <v>171137.766187096</v>
      </c>
      <c r="G230" s="34" t="n">
        <f aca="false">G38*(1-Inputs!$B$14)-G70+G198-G166</f>
        <v>421089.350245195</v>
      </c>
      <c r="H230" s="34" t="n">
        <f aca="false">H38*(1-Inputs!$B$14)-H70+H198-H166</f>
        <v>758703.327305013</v>
      </c>
    </row>
    <row r="231" customFormat="false" ht="15" hidden="true" customHeight="true" outlineLevel="0" collapsed="false">
      <c r="B231" s="34" t="n">
        <f aca="false">B39*(1-Inputs!$B$14)-B71+B199-B167</f>
        <v>-293246.934601446</v>
      </c>
      <c r="C231" s="34" t="n">
        <f aca="false">C39*(1-Inputs!$B$14)-C71+C199-C167</f>
        <v>-230753.617651351</v>
      </c>
      <c r="D231" s="34" t="n">
        <f aca="false">D39*(1-Inputs!$B$14)-D71+D199-D167</f>
        <v>-137314.316476515</v>
      </c>
      <c r="E231" s="34" t="n">
        <f aca="false">E39*(1-Inputs!$B$14)-E71+E199-E167</f>
        <v>-2174.81705802726</v>
      </c>
      <c r="F231" s="34" t="n">
        <f aca="false">F39*(1-Inputs!$B$14)-F71+F199-F167</f>
        <v>188737.434866298</v>
      </c>
      <c r="G231" s="34" t="n">
        <f aca="false">G39*(1-Inputs!$B$14)-G71+G199-G167</f>
        <v>453761.835654772</v>
      </c>
      <c r="H231" s="34" t="n">
        <f aca="false">H39*(1-Inputs!$B$14)-H71+H199-H167</f>
        <v>816707.40470623</v>
      </c>
    </row>
    <row r="232" customFormat="false" ht="15" hidden="true" customHeight="true" outlineLevel="0" collapsed="false">
      <c r="B232" s="34" t="n">
        <f aca="false">B40*(1-Inputs!$B$14)-B72+B200-B168</f>
        <v>-283373.64916508</v>
      </c>
      <c r="C232" s="34" t="n">
        <f aca="false">C40*(1-Inputs!$B$14)-C72+C200-C168</f>
        <v>-222857.61491156</v>
      </c>
      <c r="D232" s="34" t="n">
        <f aca="false">D40*(1-Inputs!$B$14)-D72+D200-D168</f>
        <v>-129526.810409801</v>
      </c>
      <c r="E232" s="34" t="n">
        <f aca="false">E40*(1-Inputs!$B$14)-E72+E200-E168</f>
        <v>8623.98430641543</v>
      </c>
      <c r="F232" s="34" t="n">
        <f aca="false">F40*(1-Inputs!$B$14)-F72+F200-F168</f>
        <v>207481.231617072</v>
      </c>
      <c r="G232" s="34" t="n">
        <f aca="false">G40*(1-Inputs!$B$14)-G72+G200-G168</f>
        <v>487974.480273573</v>
      </c>
      <c r="H232" s="34" t="n">
        <f aca="false">H40*(1-Inputs!$B$14)-H72+H200-H168</f>
        <v>877564.655304605</v>
      </c>
    </row>
    <row r="233" customFormat="false" ht="15" hidden="true" customHeight="true" outlineLevel="0" collapsed="false"/>
    <row r="234" customFormat="false" ht="15" hidden="true" customHeight="true" outlineLevel="0" collapsed="false">
      <c r="A234" s="33" t="s">
        <v>98</v>
      </c>
      <c r="B234" s="33" t="str">
        <f aca="false">IF(B202&gt;=0,0,"")</f>
        <v/>
      </c>
      <c r="C234" s="33" t="str">
        <f aca="false">IF(C202&gt;=0,0,"")</f>
        <v/>
      </c>
      <c r="D234" s="33" t="str">
        <f aca="false">IF(D202&gt;=0,0,"")</f>
        <v/>
      </c>
      <c r="E234" s="33" t="str">
        <f aca="false">IF(E202&gt;=0,0,"")</f>
        <v/>
      </c>
      <c r="F234" s="33" t="str">
        <f aca="false">IF(F202&gt;=0,0,"")</f>
        <v/>
      </c>
      <c r="G234" s="33" t="str">
        <f aca="false">IF(G202&gt;=0,0,"")</f>
        <v/>
      </c>
      <c r="H234" s="33" t="str">
        <f aca="false">IF(H202&gt;=0,0,"")</f>
        <v/>
      </c>
    </row>
    <row r="235" customFormat="false" ht="15" hidden="true" customHeight="true" outlineLevel="0" collapsed="false">
      <c r="B235" s="33" t="str">
        <f aca="false">IF(B234&lt;&gt;"",B234,IF(B203&gt;=0,1,""))</f>
        <v/>
      </c>
      <c r="C235" s="33" t="str">
        <f aca="false">IF(C234&lt;&gt;"",C234,IF(C203&gt;=0,1,""))</f>
        <v/>
      </c>
      <c r="D235" s="33" t="str">
        <f aca="false">IF(D234&lt;&gt;"",D234,IF(D203&gt;=0,1,""))</f>
        <v/>
      </c>
      <c r="E235" s="33" t="str">
        <f aca="false">IF(E234&lt;&gt;"",E234,IF(E203&gt;=0,1,""))</f>
        <v/>
      </c>
      <c r="F235" s="33" t="str">
        <f aca="false">IF(F234&lt;&gt;"",F234,IF(F203&gt;=0,1,""))</f>
        <v/>
      </c>
      <c r="G235" s="33" t="str">
        <f aca="false">IF(G234&lt;&gt;"",G234,IF(G203&gt;=0,1,""))</f>
        <v/>
      </c>
      <c r="H235" s="33" t="str">
        <f aca="false">IF(H234&lt;&gt;"",H234,IF(H203&gt;=0,1,""))</f>
        <v/>
      </c>
    </row>
    <row r="236" customFormat="false" ht="15" hidden="true" customHeight="true" outlineLevel="0" collapsed="false">
      <c r="B236" s="33" t="str">
        <f aca="false">IF(B235&lt;&gt;"",B235,IF(B204&gt;=0,2,""))</f>
        <v/>
      </c>
      <c r="C236" s="33" t="str">
        <f aca="false">IF(C235&lt;&gt;"",C235,IF(C204&gt;=0,2,""))</f>
        <v/>
      </c>
      <c r="D236" s="33" t="str">
        <f aca="false">IF(D235&lt;&gt;"",D235,IF(D204&gt;=0,2,""))</f>
        <v/>
      </c>
      <c r="E236" s="33" t="str">
        <f aca="false">IF(E235&lt;&gt;"",E235,IF(E204&gt;=0,2,""))</f>
        <v/>
      </c>
      <c r="F236" s="33" t="str">
        <f aca="false">IF(F235&lt;&gt;"",F235,IF(F204&gt;=0,2,""))</f>
        <v/>
      </c>
      <c r="G236" s="33" t="str">
        <f aca="false">IF(G235&lt;&gt;"",G235,IF(G204&gt;=0,2,""))</f>
        <v/>
      </c>
      <c r="H236" s="33" t="str">
        <f aca="false">IF(H235&lt;&gt;"",H235,IF(H204&gt;=0,2,""))</f>
        <v/>
      </c>
    </row>
    <row r="237" customFormat="false" ht="15" hidden="true" customHeight="true" outlineLevel="0" collapsed="false">
      <c r="B237" s="33" t="str">
        <f aca="false">IF(B236&lt;&gt;"",B236,IF(B205&gt;=0,3,""))</f>
        <v/>
      </c>
      <c r="C237" s="33" t="str">
        <f aca="false">IF(C236&lt;&gt;"",C236,IF(C205&gt;=0,3,""))</f>
        <v/>
      </c>
      <c r="D237" s="33" t="str">
        <f aca="false">IF(D236&lt;&gt;"",D236,IF(D205&gt;=0,3,""))</f>
        <v/>
      </c>
      <c r="E237" s="33" t="str">
        <f aca="false">IF(E236&lt;&gt;"",E236,IF(E205&gt;=0,3,""))</f>
        <v/>
      </c>
      <c r="F237" s="33" t="str">
        <f aca="false">IF(F236&lt;&gt;"",F236,IF(F205&gt;=0,3,""))</f>
        <v/>
      </c>
      <c r="G237" s="33" t="str">
        <f aca="false">IF(G236&lt;&gt;"",G236,IF(G205&gt;=0,3,""))</f>
        <v/>
      </c>
      <c r="H237" s="33" t="str">
        <f aca="false">IF(H236&lt;&gt;"",H236,IF(H205&gt;=0,3,""))</f>
        <v/>
      </c>
    </row>
    <row r="238" customFormat="false" ht="15" hidden="true" customHeight="true" outlineLevel="0" collapsed="false">
      <c r="B238" s="33" t="str">
        <f aca="false">IF(B237&lt;&gt;"",B237,IF(B206&gt;=0,4,""))</f>
        <v/>
      </c>
      <c r="C238" s="33" t="str">
        <f aca="false">IF(C237&lt;&gt;"",C237,IF(C206&gt;=0,4,""))</f>
        <v/>
      </c>
      <c r="D238" s="33" t="str">
        <f aca="false">IF(D237&lt;&gt;"",D237,IF(D206&gt;=0,4,""))</f>
        <v/>
      </c>
      <c r="E238" s="33" t="str">
        <f aca="false">IF(E237&lt;&gt;"",E237,IF(E206&gt;=0,4,""))</f>
        <v/>
      </c>
      <c r="F238" s="33" t="str">
        <f aca="false">IF(F237&lt;&gt;"",F237,IF(F206&gt;=0,4,""))</f>
        <v/>
      </c>
      <c r="G238" s="33" t="str">
        <f aca="false">IF(G237&lt;&gt;"",G237,IF(G206&gt;=0,4,""))</f>
        <v/>
      </c>
      <c r="H238" s="33" t="n">
        <f aca="false">IF(H237&lt;&gt;"",H237,IF(H206&gt;=0,4,""))</f>
        <v>4</v>
      </c>
    </row>
    <row r="239" customFormat="false" ht="15" hidden="true" customHeight="true" outlineLevel="0" collapsed="false">
      <c r="B239" s="33" t="str">
        <f aca="false">IF(B238&lt;&gt;"",B238,IF(B207&gt;=0,5,""))</f>
        <v/>
      </c>
      <c r="C239" s="33" t="str">
        <f aca="false">IF(C238&lt;&gt;"",C238,IF(C207&gt;=0,5,""))</f>
        <v/>
      </c>
      <c r="D239" s="33" t="str">
        <f aca="false">IF(D238&lt;&gt;"",D238,IF(D207&gt;=0,5,""))</f>
        <v/>
      </c>
      <c r="E239" s="33" t="str">
        <f aca="false">IF(E238&lt;&gt;"",E238,IF(E207&gt;=0,5,""))</f>
        <v/>
      </c>
      <c r="F239" s="33" t="str">
        <f aca="false">IF(F238&lt;&gt;"",F238,IF(F207&gt;=0,5,""))</f>
        <v/>
      </c>
      <c r="G239" s="33" t="str">
        <f aca="false">IF(G238&lt;&gt;"",G238,IF(G207&gt;=0,5,""))</f>
        <v/>
      </c>
      <c r="H239" s="33" t="n">
        <f aca="false">IF(H238&lt;&gt;"",H238,IF(H207&gt;=0,5,""))</f>
        <v>4</v>
      </c>
    </row>
    <row r="240" customFormat="false" ht="15" hidden="true" customHeight="true" outlineLevel="0" collapsed="false">
      <c r="B240" s="33" t="str">
        <f aca="false">IF(B239&lt;&gt;"",B239,IF(B208&gt;=0,6,""))</f>
        <v/>
      </c>
      <c r="C240" s="33" t="str">
        <f aca="false">IF(C239&lt;&gt;"",C239,IF(C208&gt;=0,6,""))</f>
        <v/>
      </c>
      <c r="D240" s="33" t="str">
        <f aca="false">IF(D239&lt;&gt;"",D239,IF(D208&gt;=0,6,""))</f>
        <v/>
      </c>
      <c r="E240" s="33" t="str">
        <f aca="false">IF(E239&lt;&gt;"",E239,IF(E208&gt;=0,6,""))</f>
        <v/>
      </c>
      <c r="F240" s="33" t="str">
        <f aca="false">IF(F239&lt;&gt;"",F239,IF(F208&gt;=0,6,""))</f>
        <v/>
      </c>
      <c r="G240" s="33" t="n">
        <f aca="false">IF(G239&lt;&gt;"",G239,IF(G208&gt;=0,6,""))</f>
        <v>6</v>
      </c>
      <c r="H240" s="33" t="n">
        <f aca="false">IF(H239&lt;&gt;"",H239,IF(H208&gt;=0,6,""))</f>
        <v>4</v>
      </c>
    </row>
    <row r="241" customFormat="false" ht="15" hidden="true" customHeight="true" outlineLevel="0" collapsed="false">
      <c r="B241" s="33" t="str">
        <f aca="false">IF(B240&lt;&gt;"",B240,IF(B209&gt;=0,7,""))</f>
        <v/>
      </c>
      <c r="C241" s="33" t="str">
        <f aca="false">IF(C240&lt;&gt;"",C240,IF(C209&gt;=0,7,""))</f>
        <v/>
      </c>
      <c r="D241" s="33" t="str">
        <f aca="false">IF(D240&lt;&gt;"",D240,IF(D209&gt;=0,7,""))</f>
        <v/>
      </c>
      <c r="E241" s="33" t="str">
        <f aca="false">IF(E240&lt;&gt;"",E240,IF(E209&gt;=0,7,""))</f>
        <v/>
      </c>
      <c r="F241" s="33" t="str">
        <f aca="false">IF(F240&lt;&gt;"",F240,IF(F209&gt;=0,7,""))</f>
        <v/>
      </c>
      <c r="G241" s="33" t="n">
        <f aca="false">IF(G240&lt;&gt;"",G240,IF(G209&gt;=0,7,""))</f>
        <v>6</v>
      </c>
      <c r="H241" s="33" t="n">
        <f aca="false">IF(H240&lt;&gt;"",H240,IF(H209&gt;=0,7,""))</f>
        <v>4</v>
      </c>
    </row>
    <row r="242" customFormat="false" ht="15" hidden="true" customHeight="true" outlineLevel="0" collapsed="false">
      <c r="B242" s="33" t="str">
        <f aca="false">IF(B241&lt;&gt;"",B241,IF(B210&gt;=0,8,""))</f>
        <v/>
      </c>
      <c r="C242" s="33" t="str">
        <f aca="false">IF(C241&lt;&gt;"",C241,IF(C210&gt;=0,8,""))</f>
        <v/>
      </c>
      <c r="D242" s="33" t="str">
        <f aca="false">IF(D241&lt;&gt;"",D241,IF(D210&gt;=0,8,""))</f>
        <v/>
      </c>
      <c r="E242" s="33" t="str">
        <f aca="false">IF(E241&lt;&gt;"",E241,IF(E210&gt;=0,8,""))</f>
        <v/>
      </c>
      <c r="F242" s="33" t="str">
        <f aca="false">IF(F241&lt;&gt;"",F241,IF(F210&gt;=0,8,""))</f>
        <v/>
      </c>
      <c r="G242" s="33" t="n">
        <f aca="false">IF(G241&lt;&gt;"",G241,IF(G210&gt;=0,8,""))</f>
        <v>6</v>
      </c>
      <c r="H242" s="33" t="n">
        <f aca="false">IF(H241&lt;&gt;"",H241,IF(H210&gt;=0,8,""))</f>
        <v>4</v>
      </c>
    </row>
    <row r="243" customFormat="false" ht="15" hidden="true" customHeight="true" outlineLevel="0" collapsed="false">
      <c r="B243" s="33" t="str">
        <f aca="false">IF(B242&lt;&gt;"",B242,IF(B211&gt;=0,9,""))</f>
        <v/>
      </c>
      <c r="C243" s="33" t="str">
        <f aca="false">IF(C242&lt;&gt;"",C242,IF(C211&gt;=0,9,""))</f>
        <v/>
      </c>
      <c r="D243" s="33" t="str">
        <f aca="false">IF(D242&lt;&gt;"",D242,IF(D211&gt;=0,9,""))</f>
        <v/>
      </c>
      <c r="E243" s="33" t="str">
        <f aca="false">IF(E242&lt;&gt;"",E242,IF(E211&gt;=0,9,""))</f>
        <v/>
      </c>
      <c r="F243" s="33" t="str">
        <f aca="false">IF(F242&lt;&gt;"",F242,IF(F211&gt;=0,9,""))</f>
        <v/>
      </c>
      <c r="G243" s="33" t="n">
        <f aca="false">IF(G242&lt;&gt;"",G242,IF(G211&gt;=0,9,""))</f>
        <v>6</v>
      </c>
      <c r="H243" s="33" t="n">
        <f aca="false">IF(H242&lt;&gt;"",H242,IF(H211&gt;=0,9,""))</f>
        <v>4</v>
      </c>
    </row>
    <row r="244" customFormat="false" ht="15" hidden="true" customHeight="true" outlineLevel="0" collapsed="false">
      <c r="B244" s="33" t="str">
        <f aca="false">IF(B243&lt;&gt;"",B243,IF(B212&gt;=0,10,""))</f>
        <v/>
      </c>
      <c r="C244" s="33" t="str">
        <f aca="false">IF(C243&lt;&gt;"",C243,IF(C212&gt;=0,10,""))</f>
        <v/>
      </c>
      <c r="D244" s="33" t="str">
        <f aca="false">IF(D243&lt;&gt;"",D243,IF(D212&gt;=0,10,""))</f>
        <v/>
      </c>
      <c r="E244" s="33" t="str">
        <f aca="false">IF(E243&lt;&gt;"",E243,IF(E212&gt;=0,10,""))</f>
        <v/>
      </c>
      <c r="F244" s="33" t="str">
        <f aca="false">IF(F243&lt;&gt;"",F243,IF(F212&gt;=0,10,""))</f>
        <v/>
      </c>
      <c r="G244" s="33" t="n">
        <f aca="false">IF(G243&lt;&gt;"",G243,IF(G212&gt;=0,10,""))</f>
        <v>6</v>
      </c>
      <c r="H244" s="33" t="n">
        <f aca="false">IF(H243&lt;&gt;"",H243,IF(H212&gt;=0,10,""))</f>
        <v>4</v>
      </c>
    </row>
    <row r="245" customFormat="false" ht="15" hidden="true" customHeight="true" outlineLevel="0" collapsed="false">
      <c r="B245" s="33" t="str">
        <f aca="false">IF(B244&lt;&gt;"",B244,IF(B213&gt;=0,11,""))</f>
        <v/>
      </c>
      <c r="C245" s="33" t="str">
        <f aca="false">IF(C244&lt;&gt;"",C244,IF(C213&gt;=0,11,""))</f>
        <v/>
      </c>
      <c r="D245" s="33" t="str">
        <f aca="false">IF(D244&lt;&gt;"",D244,IF(D213&gt;=0,11,""))</f>
        <v/>
      </c>
      <c r="E245" s="33" t="str">
        <f aca="false">IF(E244&lt;&gt;"",E244,IF(E213&gt;=0,11,""))</f>
        <v/>
      </c>
      <c r="F245" s="33" t="str">
        <f aca="false">IF(F244&lt;&gt;"",F244,IF(F213&gt;=0,11,""))</f>
        <v/>
      </c>
      <c r="G245" s="33" t="n">
        <f aca="false">IF(G244&lt;&gt;"",G244,IF(G213&gt;=0,11,""))</f>
        <v>6</v>
      </c>
      <c r="H245" s="33" t="n">
        <f aca="false">IF(H244&lt;&gt;"",H244,IF(H213&gt;=0,11,""))</f>
        <v>4</v>
      </c>
    </row>
    <row r="246" customFormat="false" ht="15" hidden="true" customHeight="true" outlineLevel="0" collapsed="false">
      <c r="B246" s="33" t="str">
        <f aca="false">IF(B245&lt;&gt;"",B245,IF(B214&gt;=0,12,""))</f>
        <v/>
      </c>
      <c r="C246" s="33" t="str">
        <f aca="false">IF(C245&lt;&gt;"",C245,IF(C214&gt;=0,12,""))</f>
        <v/>
      </c>
      <c r="D246" s="33" t="str">
        <f aca="false">IF(D245&lt;&gt;"",D245,IF(D214&gt;=0,12,""))</f>
        <v/>
      </c>
      <c r="E246" s="33" t="str">
        <f aca="false">IF(E245&lt;&gt;"",E245,IF(E214&gt;=0,12,""))</f>
        <v/>
      </c>
      <c r="F246" s="33" t="n">
        <f aca="false">IF(F245&lt;&gt;"",F245,IF(F214&gt;=0,12,""))</f>
        <v>12</v>
      </c>
      <c r="G246" s="33" t="n">
        <f aca="false">IF(G245&lt;&gt;"",G245,IF(G214&gt;=0,12,""))</f>
        <v>6</v>
      </c>
      <c r="H246" s="33" t="n">
        <f aca="false">IF(H245&lt;&gt;"",H245,IF(H214&gt;=0,12,""))</f>
        <v>4</v>
      </c>
    </row>
    <row r="247" customFormat="false" ht="15" hidden="true" customHeight="true" outlineLevel="0" collapsed="false">
      <c r="B247" s="33" t="str">
        <f aca="false">IF(B246&lt;&gt;"",B246,IF(B215&gt;=0,13,""))</f>
        <v/>
      </c>
      <c r="C247" s="33" t="str">
        <f aca="false">IF(C246&lt;&gt;"",C246,IF(C215&gt;=0,13,""))</f>
        <v/>
      </c>
      <c r="D247" s="33" t="str">
        <f aca="false">IF(D246&lt;&gt;"",D246,IF(D215&gt;=0,13,""))</f>
        <v/>
      </c>
      <c r="E247" s="33" t="str">
        <f aca="false">IF(E246&lt;&gt;"",E246,IF(E215&gt;=0,13,""))</f>
        <v/>
      </c>
      <c r="F247" s="33" t="n">
        <f aca="false">IF(F246&lt;&gt;"",F246,IF(F215&gt;=0,13,""))</f>
        <v>12</v>
      </c>
      <c r="G247" s="33" t="n">
        <f aca="false">IF(G246&lt;&gt;"",G246,IF(G215&gt;=0,13,""))</f>
        <v>6</v>
      </c>
      <c r="H247" s="33" t="n">
        <f aca="false">IF(H246&lt;&gt;"",H246,IF(H215&gt;=0,13,""))</f>
        <v>4</v>
      </c>
    </row>
    <row r="248" customFormat="false" ht="15" hidden="true" customHeight="true" outlineLevel="0" collapsed="false">
      <c r="B248" s="33" t="str">
        <f aca="false">IF(B247&lt;&gt;"",B247,IF(B216&gt;=0,14,""))</f>
        <v/>
      </c>
      <c r="C248" s="33" t="str">
        <f aca="false">IF(C247&lt;&gt;"",C247,IF(C216&gt;=0,14,""))</f>
        <v/>
      </c>
      <c r="D248" s="33" t="str">
        <f aca="false">IF(D247&lt;&gt;"",D247,IF(D216&gt;=0,14,""))</f>
        <v/>
      </c>
      <c r="E248" s="33" t="str">
        <f aca="false">IF(E247&lt;&gt;"",E247,IF(E216&gt;=0,14,""))</f>
        <v/>
      </c>
      <c r="F248" s="33" t="n">
        <f aca="false">IF(F247&lt;&gt;"",F247,IF(F216&gt;=0,14,""))</f>
        <v>12</v>
      </c>
      <c r="G248" s="33" t="n">
        <f aca="false">IF(G247&lt;&gt;"",G247,IF(G216&gt;=0,14,""))</f>
        <v>6</v>
      </c>
      <c r="H248" s="33" t="n">
        <f aca="false">IF(H247&lt;&gt;"",H247,IF(H216&gt;=0,14,""))</f>
        <v>4</v>
      </c>
    </row>
    <row r="249" customFormat="false" ht="15" hidden="true" customHeight="true" outlineLevel="0" collapsed="false">
      <c r="B249" s="33" t="str">
        <f aca="false">IF(B248&lt;&gt;"",B248,IF(B217&gt;=0,15,""))</f>
        <v/>
      </c>
      <c r="C249" s="33" t="str">
        <f aca="false">IF(C248&lt;&gt;"",C248,IF(C217&gt;=0,15,""))</f>
        <v/>
      </c>
      <c r="D249" s="33" t="str">
        <f aca="false">IF(D248&lt;&gt;"",D248,IF(D217&gt;=0,15,""))</f>
        <v/>
      </c>
      <c r="E249" s="33" t="str">
        <f aca="false">IF(E248&lt;&gt;"",E248,IF(E217&gt;=0,15,""))</f>
        <v/>
      </c>
      <c r="F249" s="33" t="n">
        <f aca="false">IF(F248&lt;&gt;"",F248,IF(F217&gt;=0,15,""))</f>
        <v>12</v>
      </c>
      <c r="G249" s="33" t="n">
        <f aca="false">IF(G248&lt;&gt;"",G248,IF(G217&gt;=0,15,""))</f>
        <v>6</v>
      </c>
      <c r="H249" s="33" t="n">
        <f aca="false">IF(H248&lt;&gt;"",H248,IF(H217&gt;=0,15,""))</f>
        <v>4</v>
      </c>
    </row>
    <row r="250" customFormat="false" ht="15" hidden="true" customHeight="true" outlineLevel="0" collapsed="false">
      <c r="B250" s="33" t="str">
        <f aca="false">IF(B249&lt;&gt;"",B249,IF(B218&gt;=0,16,""))</f>
        <v/>
      </c>
      <c r="C250" s="33" t="str">
        <f aca="false">IF(C249&lt;&gt;"",C249,IF(C218&gt;=0,16,""))</f>
        <v/>
      </c>
      <c r="D250" s="33" t="str">
        <f aca="false">IF(D249&lt;&gt;"",D249,IF(D218&gt;=0,16,""))</f>
        <v/>
      </c>
      <c r="E250" s="33" t="str">
        <f aca="false">IF(E249&lt;&gt;"",E249,IF(E218&gt;=0,16,""))</f>
        <v/>
      </c>
      <c r="F250" s="33" t="n">
        <f aca="false">IF(F249&lt;&gt;"",F249,IF(F218&gt;=0,16,""))</f>
        <v>12</v>
      </c>
      <c r="G250" s="33" t="n">
        <f aca="false">IF(G249&lt;&gt;"",G249,IF(G218&gt;=0,16,""))</f>
        <v>6</v>
      </c>
      <c r="H250" s="33" t="n">
        <f aca="false">IF(H249&lt;&gt;"",H249,IF(H218&gt;=0,16,""))</f>
        <v>4</v>
      </c>
    </row>
    <row r="251" customFormat="false" ht="15" hidden="true" customHeight="true" outlineLevel="0" collapsed="false">
      <c r="B251" s="33" t="str">
        <f aca="false">IF(B250&lt;&gt;"",B250,IF(B219&gt;=0,17,""))</f>
        <v/>
      </c>
      <c r="C251" s="33" t="str">
        <f aca="false">IF(C250&lt;&gt;"",C250,IF(C219&gt;=0,17,""))</f>
        <v/>
      </c>
      <c r="D251" s="33" t="str">
        <f aca="false">IF(D250&lt;&gt;"",D250,IF(D219&gt;=0,17,""))</f>
        <v/>
      </c>
      <c r="E251" s="33" t="str">
        <f aca="false">IF(E250&lt;&gt;"",E250,IF(E219&gt;=0,17,""))</f>
        <v/>
      </c>
      <c r="F251" s="33" t="n">
        <f aca="false">IF(F250&lt;&gt;"",F250,IF(F219&gt;=0,17,""))</f>
        <v>12</v>
      </c>
      <c r="G251" s="33" t="n">
        <f aca="false">IF(G250&lt;&gt;"",G250,IF(G219&gt;=0,17,""))</f>
        <v>6</v>
      </c>
      <c r="H251" s="33" t="n">
        <f aca="false">IF(H250&lt;&gt;"",H250,IF(H219&gt;=0,17,""))</f>
        <v>4</v>
      </c>
    </row>
    <row r="252" customFormat="false" ht="15" hidden="true" customHeight="true" outlineLevel="0" collapsed="false">
      <c r="B252" s="33" t="str">
        <f aca="false">IF(B251&lt;&gt;"",B251,IF(B220&gt;=0,18,""))</f>
        <v/>
      </c>
      <c r="C252" s="33" t="str">
        <f aca="false">IF(C251&lt;&gt;"",C251,IF(C220&gt;=0,18,""))</f>
        <v/>
      </c>
      <c r="D252" s="33" t="str">
        <f aca="false">IF(D251&lt;&gt;"",D251,IF(D220&gt;=0,18,""))</f>
        <v/>
      </c>
      <c r="E252" s="33" t="str">
        <f aca="false">IF(E251&lt;&gt;"",E251,IF(E220&gt;=0,18,""))</f>
        <v/>
      </c>
      <c r="F252" s="33" t="n">
        <f aca="false">IF(F251&lt;&gt;"",F251,IF(F220&gt;=0,18,""))</f>
        <v>12</v>
      </c>
      <c r="G252" s="33" t="n">
        <f aca="false">IF(G251&lt;&gt;"",G251,IF(G220&gt;=0,18,""))</f>
        <v>6</v>
      </c>
      <c r="H252" s="33" t="n">
        <f aca="false">IF(H251&lt;&gt;"",H251,IF(H220&gt;=0,18,""))</f>
        <v>4</v>
      </c>
    </row>
    <row r="253" customFormat="false" ht="15" hidden="true" customHeight="true" outlineLevel="0" collapsed="false">
      <c r="B253" s="33" t="str">
        <f aca="false">IF(B252&lt;&gt;"",B252,IF(B221&gt;=0,19,""))</f>
        <v/>
      </c>
      <c r="C253" s="33" t="str">
        <f aca="false">IF(C252&lt;&gt;"",C252,IF(C221&gt;=0,19,""))</f>
        <v/>
      </c>
      <c r="D253" s="33" t="str">
        <f aca="false">IF(D252&lt;&gt;"",D252,IF(D221&gt;=0,19,""))</f>
        <v/>
      </c>
      <c r="E253" s="33" t="str">
        <f aca="false">IF(E252&lt;&gt;"",E252,IF(E221&gt;=0,19,""))</f>
        <v/>
      </c>
      <c r="F253" s="33" t="n">
        <f aca="false">IF(F252&lt;&gt;"",F252,IF(F221&gt;=0,19,""))</f>
        <v>12</v>
      </c>
      <c r="G253" s="33" t="n">
        <f aca="false">IF(G252&lt;&gt;"",G252,IF(G221&gt;=0,19,""))</f>
        <v>6</v>
      </c>
      <c r="H253" s="33" t="n">
        <f aca="false">IF(H252&lt;&gt;"",H252,IF(H221&gt;=0,19,""))</f>
        <v>4</v>
      </c>
    </row>
    <row r="254" customFormat="false" ht="15" hidden="true" customHeight="true" outlineLevel="0" collapsed="false">
      <c r="B254" s="33" t="str">
        <f aca="false">IF(B253&lt;&gt;"",B253,IF(B222&gt;=0,20,""))</f>
        <v/>
      </c>
      <c r="C254" s="33" t="str">
        <f aca="false">IF(C253&lt;&gt;"",C253,IF(C222&gt;=0,20,""))</f>
        <v/>
      </c>
      <c r="D254" s="33" t="str">
        <f aca="false">IF(D253&lt;&gt;"",D253,IF(D222&gt;=0,20,""))</f>
        <v/>
      </c>
      <c r="E254" s="33" t="str">
        <f aca="false">IF(E253&lt;&gt;"",E253,IF(E222&gt;=0,20,""))</f>
        <v/>
      </c>
      <c r="F254" s="33" t="n">
        <f aca="false">IF(F253&lt;&gt;"",F253,IF(F222&gt;=0,20,""))</f>
        <v>12</v>
      </c>
      <c r="G254" s="33" t="n">
        <f aca="false">IF(G253&lt;&gt;"",G253,IF(G222&gt;=0,20,""))</f>
        <v>6</v>
      </c>
      <c r="H254" s="33" t="n">
        <f aca="false">IF(H253&lt;&gt;"",H253,IF(H222&gt;=0,20,""))</f>
        <v>4</v>
      </c>
    </row>
    <row r="255" customFormat="false" ht="15" hidden="true" customHeight="true" outlineLevel="0" collapsed="false">
      <c r="B255" s="33" t="str">
        <f aca="false">IF(B254&lt;&gt;"",B254,IF(B223&gt;=0,21,""))</f>
        <v/>
      </c>
      <c r="C255" s="33" t="str">
        <f aca="false">IF(C254&lt;&gt;"",C254,IF(C223&gt;=0,21,""))</f>
        <v/>
      </c>
      <c r="D255" s="33" t="str">
        <f aca="false">IF(D254&lt;&gt;"",D254,IF(D223&gt;=0,21,""))</f>
        <v/>
      </c>
      <c r="E255" s="33" t="str">
        <f aca="false">IF(E254&lt;&gt;"",E254,IF(E223&gt;=0,21,""))</f>
        <v/>
      </c>
      <c r="F255" s="33" t="n">
        <f aca="false">IF(F254&lt;&gt;"",F254,IF(F223&gt;=0,21,""))</f>
        <v>12</v>
      </c>
      <c r="G255" s="33" t="n">
        <f aca="false">IF(G254&lt;&gt;"",G254,IF(G223&gt;=0,21,""))</f>
        <v>6</v>
      </c>
      <c r="H255" s="33" t="n">
        <f aca="false">IF(H254&lt;&gt;"",H254,IF(H223&gt;=0,21,""))</f>
        <v>4</v>
      </c>
    </row>
    <row r="256" customFormat="false" ht="15" hidden="true" customHeight="true" outlineLevel="0" collapsed="false">
      <c r="B256" s="33" t="str">
        <f aca="false">IF(B255&lt;&gt;"",B255,IF(B224&gt;=0,22,""))</f>
        <v/>
      </c>
      <c r="C256" s="33" t="str">
        <f aca="false">IF(C255&lt;&gt;"",C255,IF(C224&gt;=0,22,""))</f>
        <v/>
      </c>
      <c r="D256" s="33" t="str">
        <f aca="false">IF(D255&lt;&gt;"",D255,IF(D224&gt;=0,22,""))</f>
        <v/>
      </c>
      <c r="E256" s="33" t="str">
        <f aca="false">IF(E255&lt;&gt;"",E255,IF(E224&gt;=0,22,""))</f>
        <v/>
      </c>
      <c r="F256" s="33" t="n">
        <f aca="false">IF(F255&lt;&gt;"",F255,IF(F224&gt;=0,22,""))</f>
        <v>12</v>
      </c>
      <c r="G256" s="33" t="n">
        <f aca="false">IF(G255&lt;&gt;"",G255,IF(G224&gt;=0,22,""))</f>
        <v>6</v>
      </c>
      <c r="H256" s="33" t="n">
        <f aca="false">IF(H255&lt;&gt;"",H255,IF(H224&gt;=0,22,""))</f>
        <v>4</v>
      </c>
    </row>
    <row r="257" customFormat="false" ht="15" hidden="true" customHeight="true" outlineLevel="0" collapsed="false">
      <c r="B257" s="33" t="str">
        <f aca="false">IF(B256&lt;&gt;"",B256,IF(B225&gt;=0,23,""))</f>
        <v/>
      </c>
      <c r="C257" s="33" t="str">
        <f aca="false">IF(C256&lt;&gt;"",C256,IF(C225&gt;=0,23,""))</f>
        <v/>
      </c>
      <c r="D257" s="33" t="str">
        <f aca="false">IF(D256&lt;&gt;"",D256,IF(D225&gt;=0,23,""))</f>
        <v/>
      </c>
      <c r="E257" s="33" t="str">
        <f aca="false">IF(E256&lt;&gt;"",E256,IF(E225&gt;=0,23,""))</f>
        <v/>
      </c>
      <c r="F257" s="33" t="n">
        <f aca="false">IF(F256&lt;&gt;"",F256,IF(F225&gt;=0,23,""))</f>
        <v>12</v>
      </c>
      <c r="G257" s="33" t="n">
        <f aca="false">IF(G256&lt;&gt;"",G256,IF(G225&gt;=0,23,""))</f>
        <v>6</v>
      </c>
      <c r="H257" s="33" t="n">
        <f aca="false">IF(H256&lt;&gt;"",H256,IF(H225&gt;=0,23,""))</f>
        <v>4</v>
      </c>
    </row>
    <row r="258" customFormat="false" ht="15" hidden="true" customHeight="true" outlineLevel="0" collapsed="false">
      <c r="B258" s="33" t="str">
        <f aca="false">IF(B257&lt;&gt;"",B257,IF(B226&gt;=0,24,""))</f>
        <v/>
      </c>
      <c r="C258" s="33" t="str">
        <f aca="false">IF(C257&lt;&gt;"",C257,IF(C226&gt;=0,24,""))</f>
        <v/>
      </c>
      <c r="D258" s="33" t="str">
        <f aca="false">IF(D257&lt;&gt;"",D257,IF(D226&gt;=0,24,""))</f>
        <v/>
      </c>
      <c r="E258" s="33" t="str">
        <f aca="false">IF(E257&lt;&gt;"",E257,IF(E226&gt;=0,24,""))</f>
        <v/>
      </c>
      <c r="F258" s="33" t="n">
        <f aca="false">IF(F257&lt;&gt;"",F257,IF(F226&gt;=0,24,""))</f>
        <v>12</v>
      </c>
      <c r="G258" s="33" t="n">
        <f aca="false">IF(G257&lt;&gt;"",G257,IF(G226&gt;=0,24,""))</f>
        <v>6</v>
      </c>
      <c r="H258" s="33" t="n">
        <f aca="false">IF(H257&lt;&gt;"",H257,IF(H226&gt;=0,24,""))</f>
        <v>4</v>
      </c>
    </row>
    <row r="259" customFormat="false" ht="15" hidden="true" customHeight="true" outlineLevel="0" collapsed="false">
      <c r="B259" s="33" t="str">
        <f aca="false">IF(B258&lt;&gt;"",B258,IF(B227&gt;=0,25,""))</f>
        <v/>
      </c>
      <c r="C259" s="33" t="str">
        <f aca="false">IF(C258&lt;&gt;"",C258,IF(C227&gt;=0,25,""))</f>
        <v/>
      </c>
      <c r="D259" s="33" t="str">
        <f aca="false">IF(D258&lt;&gt;"",D258,IF(D227&gt;=0,25,""))</f>
        <v/>
      </c>
      <c r="E259" s="33" t="str">
        <f aca="false">IF(E258&lt;&gt;"",E258,IF(E227&gt;=0,25,""))</f>
        <v/>
      </c>
      <c r="F259" s="33" t="n">
        <f aca="false">IF(F258&lt;&gt;"",F258,IF(F227&gt;=0,25,""))</f>
        <v>12</v>
      </c>
      <c r="G259" s="33" t="n">
        <f aca="false">IF(G258&lt;&gt;"",G258,IF(G227&gt;=0,25,""))</f>
        <v>6</v>
      </c>
      <c r="H259" s="33" t="n">
        <f aca="false">IF(H258&lt;&gt;"",H258,IF(H227&gt;=0,25,""))</f>
        <v>4</v>
      </c>
    </row>
    <row r="260" customFormat="false" ht="15" hidden="true" customHeight="true" outlineLevel="0" collapsed="false">
      <c r="B260" s="33" t="str">
        <f aca="false">IF(B259&lt;&gt;"",B259,IF(B228&gt;=0,26,""))</f>
        <v/>
      </c>
      <c r="C260" s="33" t="str">
        <f aca="false">IF(C259&lt;&gt;"",C259,IF(C228&gt;=0,26,""))</f>
        <v/>
      </c>
      <c r="D260" s="33" t="str">
        <f aca="false">IF(D259&lt;&gt;"",D259,IF(D228&gt;=0,26,""))</f>
        <v/>
      </c>
      <c r="E260" s="33" t="str">
        <f aca="false">IF(E259&lt;&gt;"",E259,IF(E228&gt;=0,26,""))</f>
        <v/>
      </c>
      <c r="F260" s="33" t="n">
        <f aca="false">IF(F259&lt;&gt;"",F259,IF(F228&gt;=0,26,""))</f>
        <v>12</v>
      </c>
      <c r="G260" s="33" t="n">
        <f aca="false">IF(G259&lt;&gt;"",G259,IF(G228&gt;=0,26,""))</f>
        <v>6</v>
      </c>
      <c r="H260" s="33" t="n">
        <f aca="false">IF(H259&lt;&gt;"",H259,IF(H228&gt;=0,26,""))</f>
        <v>4</v>
      </c>
    </row>
    <row r="261" customFormat="false" ht="15" hidden="true" customHeight="true" outlineLevel="0" collapsed="false">
      <c r="B261" s="33" t="str">
        <f aca="false">IF(B260&lt;&gt;"",B260,IF(B229&gt;=0,27,""))</f>
        <v/>
      </c>
      <c r="C261" s="33" t="str">
        <f aca="false">IF(C260&lt;&gt;"",C260,IF(C229&gt;=0,27,""))</f>
        <v/>
      </c>
      <c r="D261" s="33" t="str">
        <f aca="false">IF(D260&lt;&gt;"",D260,IF(D229&gt;=0,27,""))</f>
        <v/>
      </c>
      <c r="E261" s="33" t="str">
        <f aca="false">IF(E260&lt;&gt;"",E260,IF(E229&gt;=0,27,""))</f>
        <v/>
      </c>
      <c r="F261" s="33" t="n">
        <f aca="false">IF(F260&lt;&gt;"",F260,IF(F229&gt;=0,27,""))</f>
        <v>12</v>
      </c>
      <c r="G261" s="33" t="n">
        <f aca="false">IF(G260&lt;&gt;"",G260,IF(G229&gt;=0,27,""))</f>
        <v>6</v>
      </c>
      <c r="H261" s="33" t="n">
        <f aca="false">IF(H260&lt;&gt;"",H260,IF(H229&gt;=0,27,""))</f>
        <v>4</v>
      </c>
    </row>
    <row r="262" customFormat="false" ht="15" hidden="true" customHeight="true" outlineLevel="0" collapsed="false">
      <c r="B262" s="33" t="str">
        <f aca="false">IF(B261&lt;&gt;"",B261,IF(B230&gt;=0,28,""))</f>
        <v/>
      </c>
      <c r="C262" s="33" t="str">
        <f aca="false">IF(C261&lt;&gt;"",C261,IF(C230&gt;=0,28,""))</f>
        <v/>
      </c>
      <c r="D262" s="33" t="str">
        <f aca="false">IF(D261&lt;&gt;"",D261,IF(D230&gt;=0,28,""))</f>
        <v/>
      </c>
      <c r="E262" s="33" t="str">
        <f aca="false">IF(E261&lt;&gt;"",E261,IF(E230&gt;=0,28,""))</f>
        <v/>
      </c>
      <c r="F262" s="33" t="n">
        <f aca="false">IF(F261&lt;&gt;"",F261,IF(F230&gt;=0,28,""))</f>
        <v>12</v>
      </c>
      <c r="G262" s="33" t="n">
        <f aca="false">IF(G261&lt;&gt;"",G261,IF(G230&gt;=0,28,""))</f>
        <v>6</v>
      </c>
      <c r="H262" s="33" t="n">
        <f aca="false">IF(H261&lt;&gt;"",H261,IF(H230&gt;=0,28,""))</f>
        <v>4</v>
      </c>
    </row>
    <row r="263" customFormat="false" ht="15" hidden="true" customHeight="true" outlineLevel="0" collapsed="false">
      <c r="B263" s="33" t="str">
        <f aca="false">IF(B262&lt;&gt;"",B262,IF(B231&gt;=0,29,""))</f>
        <v/>
      </c>
      <c r="C263" s="33" t="str">
        <f aca="false">IF(C262&lt;&gt;"",C262,IF(C231&gt;=0,29,""))</f>
        <v/>
      </c>
      <c r="D263" s="33" t="str">
        <f aca="false">IF(D262&lt;&gt;"",D262,IF(D231&gt;=0,29,""))</f>
        <v/>
      </c>
      <c r="E263" s="33" t="str">
        <f aca="false">IF(E262&lt;&gt;"",E262,IF(E231&gt;=0,29,""))</f>
        <v/>
      </c>
      <c r="F263" s="33" t="n">
        <f aca="false">IF(F262&lt;&gt;"",F262,IF(F231&gt;=0,29,""))</f>
        <v>12</v>
      </c>
      <c r="G263" s="33" t="n">
        <f aca="false">IF(G262&lt;&gt;"",G262,IF(G231&gt;=0,29,""))</f>
        <v>6</v>
      </c>
      <c r="H263" s="33" t="n">
        <f aca="false">IF(H262&lt;&gt;"",H262,IF(H231&gt;=0,29,""))</f>
        <v>4</v>
      </c>
    </row>
    <row r="264" customFormat="false" ht="15" hidden="true" customHeight="true" outlineLevel="0" collapsed="false">
      <c r="B264" s="33" t="str">
        <f aca="false">IF(B263&lt;&gt;"",B263,IF(B232&gt;=0,30,""))</f>
        <v/>
      </c>
      <c r="C264" s="33" t="str">
        <f aca="false">IF(C263&lt;&gt;"",C263,IF(C232&gt;=0,30,""))</f>
        <v/>
      </c>
      <c r="D264" s="33" t="str">
        <f aca="false">IF(D263&lt;&gt;"",D263,IF(D232&gt;=0,30,""))</f>
        <v/>
      </c>
      <c r="E264" s="33" t="n">
        <f aca="false">IF(E263&lt;&gt;"",E263,IF(E232&gt;=0,30,""))</f>
        <v>30</v>
      </c>
      <c r="F264" s="33" t="n">
        <f aca="false">IF(F263&lt;&gt;"",F263,IF(F232&gt;=0,30,""))</f>
        <v>12</v>
      </c>
      <c r="G264" s="33" t="n">
        <f aca="false">IF(G263&lt;&gt;"",G263,IF(G232&gt;=0,30,""))</f>
        <v>6</v>
      </c>
      <c r="H264" s="33" t="n">
        <f aca="false">IF(H263&lt;&gt;"",H263,IF(H232&gt;=0,30,""))</f>
        <v>4</v>
      </c>
    </row>
    <row r="265" customFormat="false" ht="15" hidden="true" customHeight="true" outlineLevel="0" collapsed="false"/>
    <row r="267" customFormat="false" ht="15" hidden="false" customHeight="true" outlineLevel="0" collapsed="false">
      <c r="A267" s="10" t="s">
        <v>99</v>
      </c>
      <c r="B267" s="11"/>
      <c r="C267" s="11"/>
      <c r="D267" s="11"/>
      <c r="E267" s="11"/>
      <c r="F267" s="11"/>
      <c r="G267" s="11"/>
      <c r="H267" s="11"/>
      <c r="I267" s="11"/>
    </row>
    <row r="268" customFormat="false" ht="15" hidden="false" customHeight="true" outlineLevel="0" collapsed="false">
      <c r="A268" s="22" t="s">
        <v>87</v>
      </c>
      <c r="B268" s="17" t="n">
        <v>0.045</v>
      </c>
      <c r="C268" s="17" t="n">
        <v>0.05</v>
      </c>
      <c r="D268" s="17" t="n">
        <v>0.055</v>
      </c>
      <c r="E268" s="17" t="n">
        <v>0.06</v>
      </c>
      <c r="F268" s="17" t="n">
        <v>0.0625</v>
      </c>
      <c r="G268" s="17" t="n">
        <v>0.065</v>
      </c>
      <c r="H268" s="17" t="n">
        <v>0.07</v>
      </c>
      <c r="I268" s="17" t="n">
        <v>0.075</v>
      </c>
    </row>
    <row r="269" customFormat="false" ht="15" hidden="false" customHeight="true" outlineLevel="0" collapsed="false">
      <c r="A269" s="22" t="s">
        <v>88</v>
      </c>
      <c r="B269" s="31" t="n">
        <f aca="false">IF(B527="","Never",B527)</f>
        <v>5</v>
      </c>
      <c r="C269" s="31" t="n">
        <f aca="false">IF(C527="","Never",C527)</f>
        <v>6</v>
      </c>
      <c r="D269" s="31" t="n">
        <f aca="false">IF(D527="","Never",D527)</f>
        <v>8</v>
      </c>
      <c r="E269" s="31" t="n">
        <f aca="false">IF(E527="","Never",E527)</f>
        <v>11</v>
      </c>
      <c r="F269" s="31" t="n">
        <f aca="false">IF(F527="","Never",F527)</f>
        <v>13</v>
      </c>
      <c r="G269" s="31" t="n">
        <f aca="false">IF(G527="","Never",G527)</f>
        <v>16</v>
      </c>
      <c r="H269" s="31" t="n">
        <f aca="false">IF(H527="","Never",H527)</f>
        <v>24</v>
      </c>
      <c r="I269" s="31" t="str">
        <f aca="false">IF(I527="","Never",I527)</f>
        <v>Never</v>
      </c>
    </row>
    <row r="270" customFormat="false" ht="15" hidden="false" customHeight="true" outlineLevel="0" collapsed="false">
      <c r="A270" s="22" t="s">
        <v>60</v>
      </c>
      <c r="B270" s="24" t="n">
        <f aca="false">INDEX(B465:B495,Inputs!$B$24+1)</f>
        <v>24364.1215290003</v>
      </c>
      <c r="C270" s="24" t="n">
        <f aca="false">INDEX(C465:C495,Inputs!$B$24+1)</f>
        <v>10789.9964743224</v>
      </c>
      <c r="D270" s="24" t="n">
        <f aca="false">INDEX(D465:D495,Inputs!$B$24+1)</f>
        <v>-2907.19796354408</v>
      </c>
      <c r="E270" s="24" t="n">
        <f aca="false">INDEX(E465:E495,Inputs!$B$24+1)</f>
        <v>-16716.3559793732</v>
      </c>
      <c r="F270" s="24" t="n">
        <f aca="false">INDEX(F465:F495,Inputs!$B$24+1)</f>
        <v>-23659.5759370052</v>
      </c>
      <c r="G270" s="24" t="n">
        <f aca="false">INDEX(G465:G495,Inputs!$B$24+1)</f>
        <v>-30626.8191172258</v>
      </c>
      <c r="H270" s="24" t="n">
        <f aca="false">INDEX(H465:H495,Inputs!$B$24+1)</f>
        <v>-44628.3318429336</v>
      </c>
      <c r="I270" s="24" t="n">
        <f aca="false">INDEX(I465:I495,Inputs!$B$24+1)</f>
        <v>-58711.2197776256</v>
      </c>
    </row>
    <row r="271" customFormat="false" ht="15" hidden="false" customHeight="true" outlineLevel="0" collapsed="false">
      <c r="A271" s="16" t="s">
        <v>89</v>
      </c>
      <c r="B271" s="32" t="str">
        <f aca="false">IF(ROUND(B268,4)=ROUND(Inputs!$B$6,4),"&lt;- your input","")</f>
        <v/>
      </c>
      <c r="C271" s="32" t="str">
        <f aca="false">IF(ROUND(C268,4)=ROUND(Inputs!$B$6,4),"&lt;- your input","")</f>
        <v/>
      </c>
      <c r="D271" s="32" t="str">
        <f aca="false">IF(ROUND(D268,4)=ROUND(Inputs!$B$6,4),"&lt;- your input","")</f>
        <v/>
      </c>
      <c r="E271" s="32" t="str">
        <f aca="false">IF(ROUND(E268,4)=ROUND(Inputs!$B$6,4),"&lt;- your input","")</f>
        <v/>
      </c>
      <c r="F271" s="32" t="str">
        <f aca="false">IF(ROUND(F268,4)=ROUND(Inputs!$B$6,4),"&lt;- your input","")</f>
        <v/>
      </c>
      <c r="G271" s="32" t="str">
        <f aca="false">IF(ROUND(G268,4)=ROUND(Inputs!$B$6,4),"&lt;- your input","")</f>
        <v/>
      </c>
      <c r="H271" s="32" t="str">
        <f aca="false">IF(ROUND(H268,4)=ROUND(Inputs!$B$6,4),"&lt;- your input","")</f>
        <v/>
      </c>
      <c r="I271" s="32" t="str">
        <f aca="false">IF(ROUND(I268,4)=ROUND(Inputs!$B$6,4),"&lt;- your input","")</f>
        <v/>
      </c>
    </row>
    <row r="272" customFormat="false" ht="15" hidden="true" customHeight="true" outlineLevel="0" collapsed="false">
      <c r="A272" s="16" t="s">
        <v>90</v>
      </c>
    </row>
    <row r="273" customFormat="false" ht="15" hidden="true" customHeight="true" outlineLevel="0" collapsed="false">
      <c r="A273" s="33" t="s">
        <v>91</v>
      </c>
      <c r="B273" s="34" t="n">
        <f aca="false">Inputs!$B$4</f>
        <v>429100</v>
      </c>
      <c r="C273" s="34" t="n">
        <f aca="false">Inputs!$B$4</f>
        <v>429100</v>
      </c>
      <c r="D273" s="34" t="n">
        <f aca="false">Inputs!$B$4</f>
        <v>429100</v>
      </c>
      <c r="E273" s="34" t="n">
        <f aca="false">Inputs!$B$4</f>
        <v>429100</v>
      </c>
      <c r="F273" s="34" t="n">
        <f aca="false">Inputs!$B$4</f>
        <v>429100</v>
      </c>
      <c r="G273" s="34" t="n">
        <f aca="false">Inputs!$B$4</f>
        <v>429100</v>
      </c>
      <c r="H273" s="34" t="n">
        <f aca="false">Inputs!$B$4</f>
        <v>429100</v>
      </c>
      <c r="I273" s="34" t="n">
        <f aca="false">Inputs!$B$4</f>
        <v>429100</v>
      </c>
    </row>
    <row r="274" customFormat="false" ht="15" hidden="true" customHeight="true" outlineLevel="0" collapsed="false">
      <c r="B274" s="34" t="n">
        <f aca="false">B273*(1+Inputs!$B$13)</f>
        <v>441973</v>
      </c>
      <c r="C274" s="34" t="n">
        <f aca="false">C273*(1+Inputs!$B$13)</f>
        <v>441973</v>
      </c>
      <c r="D274" s="34" t="n">
        <f aca="false">D273*(1+Inputs!$B$13)</f>
        <v>441973</v>
      </c>
      <c r="E274" s="34" t="n">
        <f aca="false">E273*(1+Inputs!$B$13)</f>
        <v>441973</v>
      </c>
      <c r="F274" s="34" t="n">
        <f aca="false">F273*(1+Inputs!$B$13)</f>
        <v>441973</v>
      </c>
      <c r="G274" s="34" t="n">
        <f aca="false">G273*(1+Inputs!$B$13)</f>
        <v>441973</v>
      </c>
      <c r="H274" s="34" t="n">
        <f aca="false">H273*(1+Inputs!$B$13)</f>
        <v>441973</v>
      </c>
      <c r="I274" s="34" t="n">
        <f aca="false">I273*(1+Inputs!$B$13)</f>
        <v>441973</v>
      </c>
    </row>
    <row r="275" customFormat="false" ht="15" hidden="true" customHeight="true" outlineLevel="0" collapsed="false">
      <c r="B275" s="34" t="n">
        <f aca="false">B274*(1+Inputs!$B$13)</f>
        <v>455232.19</v>
      </c>
      <c r="C275" s="34" t="n">
        <f aca="false">C274*(1+Inputs!$B$13)</f>
        <v>455232.19</v>
      </c>
      <c r="D275" s="34" t="n">
        <f aca="false">D274*(1+Inputs!$B$13)</f>
        <v>455232.19</v>
      </c>
      <c r="E275" s="34" t="n">
        <f aca="false">E274*(1+Inputs!$B$13)</f>
        <v>455232.19</v>
      </c>
      <c r="F275" s="34" t="n">
        <f aca="false">F274*(1+Inputs!$B$13)</f>
        <v>455232.19</v>
      </c>
      <c r="G275" s="34" t="n">
        <f aca="false">G274*(1+Inputs!$B$13)</f>
        <v>455232.19</v>
      </c>
      <c r="H275" s="34" t="n">
        <f aca="false">H274*(1+Inputs!$B$13)</f>
        <v>455232.19</v>
      </c>
      <c r="I275" s="34" t="n">
        <f aca="false">I274*(1+Inputs!$B$13)</f>
        <v>455232.19</v>
      </c>
    </row>
    <row r="276" customFormat="false" ht="15" hidden="true" customHeight="true" outlineLevel="0" collapsed="false">
      <c r="B276" s="34" t="n">
        <f aca="false">B275*(1+Inputs!$B$13)</f>
        <v>468889.1557</v>
      </c>
      <c r="C276" s="34" t="n">
        <f aca="false">C275*(1+Inputs!$B$13)</f>
        <v>468889.1557</v>
      </c>
      <c r="D276" s="34" t="n">
        <f aca="false">D275*(1+Inputs!$B$13)</f>
        <v>468889.1557</v>
      </c>
      <c r="E276" s="34" t="n">
        <f aca="false">E275*(1+Inputs!$B$13)</f>
        <v>468889.1557</v>
      </c>
      <c r="F276" s="34" t="n">
        <f aca="false">F275*(1+Inputs!$B$13)</f>
        <v>468889.1557</v>
      </c>
      <c r="G276" s="34" t="n">
        <f aca="false">G275*(1+Inputs!$B$13)</f>
        <v>468889.1557</v>
      </c>
      <c r="H276" s="34" t="n">
        <f aca="false">H275*(1+Inputs!$B$13)</f>
        <v>468889.1557</v>
      </c>
      <c r="I276" s="34" t="n">
        <f aca="false">I275*(1+Inputs!$B$13)</f>
        <v>468889.1557</v>
      </c>
    </row>
    <row r="277" customFormat="false" ht="15" hidden="true" customHeight="true" outlineLevel="0" collapsed="false">
      <c r="B277" s="34" t="n">
        <f aca="false">B276*(1+Inputs!$B$13)</f>
        <v>482955.830371</v>
      </c>
      <c r="C277" s="34" t="n">
        <f aca="false">C276*(1+Inputs!$B$13)</f>
        <v>482955.830371</v>
      </c>
      <c r="D277" s="34" t="n">
        <f aca="false">D276*(1+Inputs!$B$13)</f>
        <v>482955.830371</v>
      </c>
      <c r="E277" s="34" t="n">
        <f aca="false">E276*(1+Inputs!$B$13)</f>
        <v>482955.830371</v>
      </c>
      <c r="F277" s="34" t="n">
        <f aca="false">F276*(1+Inputs!$B$13)</f>
        <v>482955.830371</v>
      </c>
      <c r="G277" s="34" t="n">
        <f aca="false">G276*(1+Inputs!$B$13)</f>
        <v>482955.830371</v>
      </c>
      <c r="H277" s="34" t="n">
        <f aca="false">H276*(1+Inputs!$B$13)</f>
        <v>482955.830371</v>
      </c>
      <c r="I277" s="34" t="n">
        <f aca="false">I276*(1+Inputs!$B$13)</f>
        <v>482955.830371</v>
      </c>
    </row>
    <row r="278" customFormat="false" ht="15" hidden="true" customHeight="true" outlineLevel="0" collapsed="false">
      <c r="B278" s="34" t="n">
        <f aca="false">B277*(1+Inputs!$B$13)</f>
        <v>497444.50528213</v>
      </c>
      <c r="C278" s="34" t="n">
        <f aca="false">C277*(1+Inputs!$B$13)</f>
        <v>497444.50528213</v>
      </c>
      <c r="D278" s="34" t="n">
        <f aca="false">D277*(1+Inputs!$B$13)</f>
        <v>497444.50528213</v>
      </c>
      <c r="E278" s="34" t="n">
        <f aca="false">E277*(1+Inputs!$B$13)</f>
        <v>497444.50528213</v>
      </c>
      <c r="F278" s="34" t="n">
        <f aca="false">F277*(1+Inputs!$B$13)</f>
        <v>497444.50528213</v>
      </c>
      <c r="G278" s="34" t="n">
        <f aca="false">G277*(1+Inputs!$B$13)</f>
        <v>497444.50528213</v>
      </c>
      <c r="H278" s="34" t="n">
        <f aca="false">H277*(1+Inputs!$B$13)</f>
        <v>497444.50528213</v>
      </c>
      <c r="I278" s="34" t="n">
        <f aca="false">I277*(1+Inputs!$B$13)</f>
        <v>497444.50528213</v>
      </c>
    </row>
    <row r="279" customFormat="false" ht="15" hidden="true" customHeight="true" outlineLevel="0" collapsed="false">
      <c r="B279" s="34" t="n">
        <f aca="false">B278*(1+Inputs!$B$13)</f>
        <v>512367.840440594</v>
      </c>
      <c r="C279" s="34" t="n">
        <f aca="false">C278*(1+Inputs!$B$13)</f>
        <v>512367.840440594</v>
      </c>
      <c r="D279" s="34" t="n">
        <f aca="false">D278*(1+Inputs!$B$13)</f>
        <v>512367.840440594</v>
      </c>
      <c r="E279" s="34" t="n">
        <f aca="false">E278*(1+Inputs!$B$13)</f>
        <v>512367.840440594</v>
      </c>
      <c r="F279" s="34" t="n">
        <f aca="false">F278*(1+Inputs!$B$13)</f>
        <v>512367.840440594</v>
      </c>
      <c r="G279" s="34" t="n">
        <f aca="false">G278*(1+Inputs!$B$13)</f>
        <v>512367.840440594</v>
      </c>
      <c r="H279" s="34" t="n">
        <f aca="false">H278*(1+Inputs!$B$13)</f>
        <v>512367.840440594</v>
      </c>
      <c r="I279" s="34" t="n">
        <f aca="false">I278*(1+Inputs!$B$13)</f>
        <v>512367.840440594</v>
      </c>
    </row>
    <row r="280" customFormat="false" ht="15" hidden="true" customHeight="true" outlineLevel="0" collapsed="false">
      <c r="B280" s="34" t="n">
        <f aca="false">B279*(1+Inputs!$B$13)</f>
        <v>527738.875653812</v>
      </c>
      <c r="C280" s="34" t="n">
        <f aca="false">C279*(1+Inputs!$B$13)</f>
        <v>527738.875653812</v>
      </c>
      <c r="D280" s="34" t="n">
        <f aca="false">D279*(1+Inputs!$B$13)</f>
        <v>527738.875653812</v>
      </c>
      <c r="E280" s="34" t="n">
        <f aca="false">E279*(1+Inputs!$B$13)</f>
        <v>527738.875653812</v>
      </c>
      <c r="F280" s="34" t="n">
        <f aca="false">F279*(1+Inputs!$B$13)</f>
        <v>527738.875653812</v>
      </c>
      <c r="G280" s="34" t="n">
        <f aca="false">G279*(1+Inputs!$B$13)</f>
        <v>527738.875653812</v>
      </c>
      <c r="H280" s="34" t="n">
        <f aca="false">H279*(1+Inputs!$B$13)</f>
        <v>527738.875653812</v>
      </c>
      <c r="I280" s="34" t="n">
        <f aca="false">I279*(1+Inputs!$B$13)</f>
        <v>527738.875653812</v>
      </c>
    </row>
    <row r="281" customFormat="false" ht="15" hidden="true" customHeight="true" outlineLevel="0" collapsed="false">
      <c r="B281" s="34" t="n">
        <f aca="false">B280*(1+Inputs!$B$13)</f>
        <v>543571.041923426</v>
      </c>
      <c r="C281" s="34" t="n">
        <f aca="false">C280*(1+Inputs!$B$13)</f>
        <v>543571.041923426</v>
      </c>
      <c r="D281" s="34" t="n">
        <f aca="false">D280*(1+Inputs!$B$13)</f>
        <v>543571.041923426</v>
      </c>
      <c r="E281" s="34" t="n">
        <f aca="false">E280*(1+Inputs!$B$13)</f>
        <v>543571.041923426</v>
      </c>
      <c r="F281" s="34" t="n">
        <f aca="false">F280*(1+Inputs!$B$13)</f>
        <v>543571.041923426</v>
      </c>
      <c r="G281" s="34" t="n">
        <f aca="false">G280*(1+Inputs!$B$13)</f>
        <v>543571.041923426</v>
      </c>
      <c r="H281" s="34" t="n">
        <f aca="false">H280*(1+Inputs!$B$13)</f>
        <v>543571.041923426</v>
      </c>
      <c r="I281" s="34" t="n">
        <f aca="false">I280*(1+Inputs!$B$13)</f>
        <v>543571.041923426</v>
      </c>
    </row>
    <row r="282" customFormat="false" ht="15" hidden="true" customHeight="true" outlineLevel="0" collapsed="false">
      <c r="B282" s="34" t="n">
        <f aca="false">B281*(1+Inputs!$B$13)</f>
        <v>559878.173181129</v>
      </c>
      <c r="C282" s="34" t="n">
        <f aca="false">C281*(1+Inputs!$B$13)</f>
        <v>559878.173181129</v>
      </c>
      <c r="D282" s="34" t="n">
        <f aca="false">D281*(1+Inputs!$B$13)</f>
        <v>559878.173181129</v>
      </c>
      <c r="E282" s="34" t="n">
        <f aca="false">E281*(1+Inputs!$B$13)</f>
        <v>559878.173181129</v>
      </c>
      <c r="F282" s="34" t="n">
        <f aca="false">F281*(1+Inputs!$B$13)</f>
        <v>559878.173181129</v>
      </c>
      <c r="G282" s="34" t="n">
        <f aca="false">G281*(1+Inputs!$B$13)</f>
        <v>559878.173181129</v>
      </c>
      <c r="H282" s="34" t="n">
        <f aca="false">H281*(1+Inputs!$B$13)</f>
        <v>559878.173181129</v>
      </c>
      <c r="I282" s="34" t="n">
        <f aca="false">I281*(1+Inputs!$B$13)</f>
        <v>559878.173181129</v>
      </c>
    </row>
    <row r="283" customFormat="false" ht="15" hidden="true" customHeight="true" outlineLevel="0" collapsed="false">
      <c r="B283" s="34" t="n">
        <f aca="false">B282*(1+Inputs!$B$13)</f>
        <v>576674.518376563</v>
      </c>
      <c r="C283" s="34" t="n">
        <f aca="false">C282*(1+Inputs!$B$13)</f>
        <v>576674.518376563</v>
      </c>
      <c r="D283" s="34" t="n">
        <f aca="false">D282*(1+Inputs!$B$13)</f>
        <v>576674.518376563</v>
      </c>
      <c r="E283" s="34" t="n">
        <f aca="false">E282*(1+Inputs!$B$13)</f>
        <v>576674.518376563</v>
      </c>
      <c r="F283" s="34" t="n">
        <f aca="false">F282*(1+Inputs!$B$13)</f>
        <v>576674.518376563</v>
      </c>
      <c r="G283" s="34" t="n">
        <f aca="false">G282*(1+Inputs!$B$13)</f>
        <v>576674.518376563</v>
      </c>
      <c r="H283" s="34" t="n">
        <f aca="false">H282*(1+Inputs!$B$13)</f>
        <v>576674.518376563</v>
      </c>
      <c r="I283" s="34" t="n">
        <f aca="false">I282*(1+Inputs!$B$13)</f>
        <v>576674.518376563</v>
      </c>
    </row>
    <row r="284" customFormat="false" ht="15" hidden="true" customHeight="true" outlineLevel="0" collapsed="false">
      <c r="B284" s="34" t="n">
        <f aca="false">B283*(1+Inputs!$B$13)</f>
        <v>593974.75392786</v>
      </c>
      <c r="C284" s="34" t="n">
        <f aca="false">C283*(1+Inputs!$B$13)</f>
        <v>593974.75392786</v>
      </c>
      <c r="D284" s="34" t="n">
        <f aca="false">D283*(1+Inputs!$B$13)</f>
        <v>593974.75392786</v>
      </c>
      <c r="E284" s="34" t="n">
        <f aca="false">E283*(1+Inputs!$B$13)</f>
        <v>593974.75392786</v>
      </c>
      <c r="F284" s="34" t="n">
        <f aca="false">F283*(1+Inputs!$B$13)</f>
        <v>593974.75392786</v>
      </c>
      <c r="G284" s="34" t="n">
        <f aca="false">G283*(1+Inputs!$B$13)</f>
        <v>593974.75392786</v>
      </c>
      <c r="H284" s="34" t="n">
        <f aca="false">H283*(1+Inputs!$B$13)</f>
        <v>593974.75392786</v>
      </c>
      <c r="I284" s="34" t="n">
        <f aca="false">I283*(1+Inputs!$B$13)</f>
        <v>593974.75392786</v>
      </c>
    </row>
    <row r="285" customFormat="false" ht="15" hidden="true" customHeight="true" outlineLevel="0" collapsed="false">
      <c r="B285" s="34" t="n">
        <f aca="false">B284*(1+Inputs!$B$13)</f>
        <v>611793.996545696</v>
      </c>
      <c r="C285" s="34" t="n">
        <f aca="false">C284*(1+Inputs!$B$13)</f>
        <v>611793.996545696</v>
      </c>
      <c r="D285" s="34" t="n">
        <f aca="false">D284*(1+Inputs!$B$13)</f>
        <v>611793.996545696</v>
      </c>
      <c r="E285" s="34" t="n">
        <f aca="false">E284*(1+Inputs!$B$13)</f>
        <v>611793.996545696</v>
      </c>
      <c r="F285" s="34" t="n">
        <f aca="false">F284*(1+Inputs!$B$13)</f>
        <v>611793.996545696</v>
      </c>
      <c r="G285" s="34" t="n">
        <f aca="false">G284*(1+Inputs!$B$13)</f>
        <v>611793.996545696</v>
      </c>
      <c r="H285" s="34" t="n">
        <f aca="false">H284*(1+Inputs!$B$13)</f>
        <v>611793.996545696</v>
      </c>
      <c r="I285" s="34" t="n">
        <f aca="false">I284*(1+Inputs!$B$13)</f>
        <v>611793.996545696</v>
      </c>
    </row>
    <row r="286" customFormat="false" ht="15" hidden="true" customHeight="true" outlineLevel="0" collapsed="false">
      <c r="B286" s="34" t="n">
        <f aca="false">B285*(1+Inputs!$B$13)</f>
        <v>630147.816442066</v>
      </c>
      <c r="C286" s="34" t="n">
        <f aca="false">C285*(1+Inputs!$B$13)</f>
        <v>630147.816442066</v>
      </c>
      <c r="D286" s="34" t="n">
        <f aca="false">D285*(1+Inputs!$B$13)</f>
        <v>630147.816442066</v>
      </c>
      <c r="E286" s="34" t="n">
        <f aca="false">E285*(1+Inputs!$B$13)</f>
        <v>630147.816442066</v>
      </c>
      <c r="F286" s="34" t="n">
        <f aca="false">F285*(1+Inputs!$B$13)</f>
        <v>630147.816442066</v>
      </c>
      <c r="G286" s="34" t="n">
        <f aca="false">G285*(1+Inputs!$B$13)</f>
        <v>630147.816442066</v>
      </c>
      <c r="H286" s="34" t="n">
        <f aca="false">H285*(1+Inputs!$B$13)</f>
        <v>630147.816442066</v>
      </c>
      <c r="I286" s="34" t="n">
        <f aca="false">I285*(1+Inputs!$B$13)</f>
        <v>630147.816442066</v>
      </c>
    </row>
    <row r="287" customFormat="false" ht="15" hidden="true" customHeight="true" outlineLevel="0" collapsed="false">
      <c r="B287" s="34" t="n">
        <f aca="false">B286*(1+Inputs!$B$13)</f>
        <v>649052.250935328</v>
      </c>
      <c r="C287" s="34" t="n">
        <f aca="false">C286*(1+Inputs!$B$13)</f>
        <v>649052.250935328</v>
      </c>
      <c r="D287" s="34" t="n">
        <f aca="false">D286*(1+Inputs!$B$13)</f>
        <v>649052.250935328</v>
      </c>
      <c r="E287" s="34" t="n">
        <f aca="false">E286*(1+Inputs!$B$13)</f>
        <v>649052.250935328</v>
      </c>
      <c r="F287" s="34" t="n">
        <f aca="false">F286*(1+Inputs!$B$13)</f>
        <v>649052.250935328</v>
      </c>
      <c r="G287" s="34" t="n">
        <f aca="false">G286*(1+Inputs!$B$13)</f>
        <v>649052.250935328</v>
      </c>
      <c r="H287" s="34" t="n">
        <f aca="false">H286*(1+Inputs!$B$13)</f>
        <v>649052.250935328</v>
      </c>
      <c r="I287" s="34" t="n">
        <f aca="false">I286*(1+Inputs!$B$13)</f>
        <v>649052.250935328</v>
      </c>
    </row>
    <row r="288" customFormat="false" ht="15" hidden="true" customHeight="true" outlineLevel="0" collapsed="false">
      <c r="B288" s="34" t="n">
        <f aca="false">B287*(1+Inputs!$B$13)</f>
        <v>668523.818463388</v>
      </c>
      <c r="C288" s="34" t="n">
        <f aca="false">C287*(1+Inputs!$B$13)</f>
        <v>668523.818463388</v>
      </c>
      <c r="D288" s="34" t="n">
        <f aca="false">D287*(1+Inputs!$B$13)</f>
        <v>668523.818463388</v>
      </c>
      <c r="E288" s="34" t="n">
        <f aca="false">E287*(1+Inputs!$B$13)</f>
        <v>668523.818463388</v>
      </c>
      <c r="F288" s="34" t="n">
        <f aca="false">F287*(1+Inputs!$B$13)</f>
        <v>668523.818463388</v>
      </c>
      <c r="G288" s="34" t="n">
        <f aca="false">G287*(1+Inputs!$B$13)</f>
        <v>668523.818463388</v>
      </c>
      <c r="H288" s="34" t="n">
        <f aca="false">H287*(1+Inputs!$B$13)</f>
        <v>668523.818463388</v>
      </c>
      <c r="I288" s="34" t="n">
        <f aca="false">I287*(1+Inputs!$B$13)</f>
        <v>668523.818463388</v>
      </c>
    </row>
    <row r="289" customFormat="false" ht="15" hidden="true" customHeight="true" outlineLevel="0" collapsed="false">
      <c r="B289" s="34" t="n">
        <f aca="false">B288*(1+Inputs!$B$13)</f>
        <v>688579.53301729</v>
      </c>
      <c r="C289" s="34" t="n">
        <f aca="false">C288*(1+Inputs!$B$13)</f>
        <v>688579.53301729</v>
      </c>
      <c r="D289" s="34" t="n">
        <f aca="false">D288*(1+Inputs!$B$13)</f>
        <v>688579.53301729</v>
      </c>
      <c r="E289" s="34" t="n">
        <f aca="false">E288*(1+Inputs!$B$13)</f>
        <v>688579.53301729</v>
      </c>
      <c r="F289" s="34" t="n">
        <f aca="false">F288*(1+Inputs!$B$13)</f>
        <v>688579.53301729</v>
      </c>
      <c r="G289" s="34" t="n">
        <f aca="false">G288*(1+Inputs!$B$13)</f>
        <v>688579.53301729</v>
      </c>
      <c r="H289" s="34" t="n">
        <f aca="false">H288*(1+Inputs!$B$13)</f>
        <v>688579.53301729</v>
      </c>
      <c r="I289" s="34" t="n">
        <f aca="false">I288*(1+Inputs!$B$13)</f>
        <v>688579.53301729</v>
      </c>
    </row>
    <row r="290" customFormat="false" ht="15" hidden="true" customHeight="true" outlineLevel="0" collapsed="false">
      <c r="B290" s="34" t="n">
        <f aca="false">B289*(1+Inputs!$B$13)</f>
        <v>709236.919007809</v>
      </c>
      <c r="C290" s="34" t="n">
        <f aca="false">C289*(1+Inputs!$B$13)</f>
        <v>709236.919007809</v>
      </c>
      <c r="D290" s="34" t="n">
        <f aca="false">D289*(1+Inputs!$B$13)</f>
        <v>709236.919007809</v>
      </c>
      <c r="E290" s="34" t="n">
        <f aca="false">E289*(1+Inputs!$B$13)</f>
        <v>709236.919007809</v>
      </c>
      <c r="F290" s="34" t="n">
        <f aca="false">F289*(1+Inputs!$B$13)</f>
        <v>709236.919007809</v>
      </c>
      <c r="G290" s="34" t="n">
        <f aca="false">G289*(1+Inputs!$B$13)</f>
        <v>709236.919007809</v>
      </c>
      <c r="H290" s="34" t="n">
        <f aca="false">H289*(1+Inputs!$B$13)</f>
        <v>709236.919007809</v>
      </c>
      <c r="I290" s="34" t="n">
        <f aca="false">I289*(1+Inputs!$B$13)</f>
        <v>709236.919007809</v>
      </c>
    </row>
    <row r="291" customFormat="false" ht="15" hidden="true" customHeight="true" outlineLevel="0" collapsed="false">
      <c r="B291" s="34" t="n">
        <f aca="false">B290*(1+Inputs!$B$13)</f>
        <v>730514.026578043</v>
      </c>
      <c r="C291" s="34" t="n">
        <f aca="false">C290*(1+Inputs!$B$13)</f>
        <v>730514.026578043</v>
      </c>
      <c r="D291" s="34" t="n">
        <f aca="false">D290*(1+Inputs!$B$13)</f>
        <v>730514.026578043</v>
      </c>
      <c r="E291" s="34" t="n">
        <f aca="false">E290*(1+Inputs!$B$13)</f>
        <v>730514.026578043</v>
      </c>
      <c r="F291" s="34" t="n">
        <f aca="false">F290*(1+Inputs!$B$13)</f>
        <v>730514.026578043</v>
      </c>
      <c r="G291" s="34" t="n">
        <f aca="false">G290*(1+Inputs!$B$13)</f>
        <v>730514.026578043</v>
      </c>
      <c r="H291" s="34" t="n">
        <f aca="false">H290*(1+Inputs!$B$13)</f>
        <v>730514.026578043</v>
      </c>
      <c r="I291" s="34" t="n">
        <f aca="false">I290*(1+Inputs!$B$13)</f>
        <v>730514.026578043</v>
      </c>
    </row>
    <row r="292" customFormat="false" ht="15" hidden="true" customHeight="true" outlineLevel="0" collapsed="false">
      <c r="B292" s="34" t="n">
        <f aca="false">B291*(1+Inputs!$B$13)</f>
        <v>752429.447375384</v>
      </c>
      <c r="C292" s="34" t="n">
        <f aca="false">C291*(1+Inputs!$B$13)</f>
        <v>752429.447375384</v>
      </c>
      <c r="D292" s="34" t="n">
        <f aca="false">D291*(1+Inputs!$B$13)</f>
        <v>752429.447375384</v>
      </c>
      <c r="E292" s="34" t="n">
        <f aca="false">E291*(1+Inputs!$B$13)</f>
        <v>752429.447375384</v>
      </c>
      <c r="F292" s="34" t="n">
        <f aca="false">F291*(1+Inputs!$B$13)</f>
        <v>752429.447375384</v>
      </c>
      <c r="G292" s="34" t="n">
        <f aca="false">G291*(1+Inputs!$B$13)</f>
        <v>752429.447375384</v>
      </c>
      <c r="H292" s="34" t="n">
        <f aca="false">H291*(1+Inputs!$B$13)</f>
        <v>752429.447375384</v>
      </c>
      <c r="I292" s="34" t="n">
        <f aca="false">I291*(1+Inputs!$B$13)</f>
        <v>752429.447375384</v>
      </c>
    </row>
    <row r="293" customFormat="false" ht="15" hidden="true" customHeight="true" outlineLevel="0" collapsed="false">
      <c r="B293" s="34" t="n">
        <f aca="false">B292*(1+Inputs!$B$13)</f>
        <v>775002.330796646</v>
      </c>
      <c r="C293" s="34" t="n">
        <f aca="false">C292*(1+Inputs!$B$13)</f>
        <v>775002.330796646</v>
      </c>
      <c r="D293" s="34" t="n">
        <f aca="false">D292*(1+Inputs!$B$13)</f>
        <v>775002.330796646</v>
      </c>
      <c r="E293" s="34" t="n">
        <f aca="false">E292*(1+Inputs!$B$13)</f>
        <v>775002.330796646</v>
      </c>
      <c r="F293" s="34" t="n">
        <f aca="false">F292*(1+Inputs!$B$13)</f>
        <v>775002.330796646</v>
      </c>
      <c r="G293" s="34" t="n">
        <f aca="false">G292*(1+Inputs!$B$13)</f>
        <v>775002.330796646</v>
      </c>
      <c r="H293" s="34" t="n">
        <f aca="false">H292*(1+Inputs!$B$13)</f>
        <v>775002.330796646</v>
      </c>
      <c r="I293" s="34" t="n">
        <f aca="false">I292*(1+Inputs!$B$13)</f>
        <v>775002.330796646</v>
      </c>
    </row>
    <row r="294" customFormat="false" ht="15" hidden="true" customHeight="true" outlineLevel="0" collapsed="false">
      <c r="B294" s="34" t="n">
        <f aca="false">B293*(1+Inputs!$B$13)</f>
        <v>798252.400720545</v>
      </c>
      <c r="C294" s="34" t="n">
        <f aca="false">C293*(1+Inputs!$B$13)</f>
        <v>798252.400720545</v>
      </c>
      <c r="D294" s="34" t="n">
        <f aca="false">D293*(1+Inputs!$B$13)</f>
        <v>798252.400720545</v>
      </c>
      <c r="E294" s="34" t="n">
        <f aca="false">E293*(1+Inputs!$B$13)</f>
        <v>798252.400720545</v>
      </c>
      <c r="F294" s="34" t="n">
        <f aca="false">F293*(1+Inputs!$B$13)</f>
        <v>798252.400720545</v>
      </c>
      <c r="G294" s="34" t="n">
        <f aca="false">G293*(1+Inputs!$B$13)</f>
        <v>798252.400720545</v>
      </c>
      <c r="H294" s="34" t="n">
        <f aca="false">H293*(1+Inputs!$B$13)</f>
        <v>798252.400720545</v>
      </c>
      <c r="I294" s="34" t="n">
        <f aca="false">I293*(1+Inputs!$B$13)</f>
        <v>798252.400720545</v>
      </c>
    </row>
    <row r="295" customFormat="false" ht="15" hidden="true" customHeight="true" outlineLevel="0" collapsed="false">
      <c r="B295" s="34" t="n">
        <f aca="false">B294*(1+Inputs!$B$13)</f>
        <v>822199.972742161</v>
      </c>
      <c r="C295" s="34" t="n">
        <f aca="false">C294*(1+Inputs!$B$13)</f>
        <v>822199.972742161</v>
      </c>
      <c r="D295" s="34" t="n">
        <f aca="false">D294*(1+Inputs!$B$13)</f>
        <v>822199.972742161</v>
      </c>
      <c r="E295" s="34" t="n">
        <f aca="false">E294*(1+Inputs!$B$13)</f>
        <v>822199.972742161</v>
      </c>
      <c r="F295" s="34" t="n">
        <f aca="false">F294*(1+Inputs!$B$13)</f>
        <v>822199.972742161</v>
      </c>
      <c r="G295" s="34" t="n">
        <f aca="false">G294*(1+Inputs!$B$13)</f>
        <v>822199.972742161</v>
      </c>
      <c r="H295" s="34" t="n">
        <f aca="false">H294*(1+Inputs!$B$13)</f>
        <v>822199.972742161</v>
      </c>
      <c r="I295" s="34" t="n">
        <f aca="false">I294*(1+Inputs!$B$13)</f>
        <v>822199.972742161</v>
      </c>
    </row>
    <row r="296" customFormat="false" ht="15" hidden="true" customHeight="true" outlineLevel="0" collapsed="false">
      <c r="B296" s="34" t="n">
        <f aca="false">B295*(1+Inputs!$B$13)</f>
        <v>846865.971924426</v>
      </c>
      <c r="C296" s="34" t="n">
        <f aca="false">C295*(1+Inputs!$B$13)</f>
        <v>846865.971924426</v>
      </c>
      <c r="D296" s="34" t="n">
        <f aca="false">D295*(1+Inputs!$B$13)</f>
        <v>846865.971924426</v>
      </c>
      <c r="E296" s="34" t="n">
        <f aca="false">E295*(1+Inputs!$B$13)</f>
        <v>846865.971924426</v>
      </c>
      <c r="F296" s="34" t="n">
        <f aca="false">F295*(1+Inputs!$B$13)</f>
        <v>846865.971924426</v>
      </c>
      <c r="G296" s="34" t="n">
        <f aca="false">G295*(1+Inputs!$B$13)</f>
        <v>846865.971924426</v>
      </c>
      <c r="H296" s="34" t="n">
        <f aca="false">H295*(1+Inputs!$B$13)</f>
        <v>846865.971924426</v>
      </c>
      <c r="I296" s="34" t="n">
        <f aca="false">I295*(1+Inputs!$B$13)</f>
        <v>846865.971924426</v>
      </c>
    </row>
    <row r="297" customFormat="false" ht="15" hidden="true" customHeight="true" outlineLevel="0" collapsed="false">
      <c r="B297" s="34" t="n">
        <f aca="false">B296*(1+Inputs!$B$13)</f>
        <v>872271.951082159</v>
      </c>
      <c r="C297" s="34" t="n">
        <f aca="false">C296*(1+Inputs!$B$13)</f>
        <v>872271.951082159</v>
      </c>
      <c r="D297" s="34" t="n">
        <f aca="false">D296*(1+Inputs!$B$13)</f>
        <v>872271.951082159</v>
      </c>
      <c r="E297" s="34" t="n">
        <f aca="false">E296*(1+Inputs!$B$13)</f>
        <v>872271.951082159</v>
      </c>
      <c r="F297" s="34" t="n">
        <f aca="false">F296*(1+Inputs!$B$13)</f>
        <v>872271.951082159</v>
      </c>
      <c r="G297" s="34" t="n">
        <f aca="false">G296*(1+Inputs!$B$13)</f>
        <v>872271.951082159</v>
      </c>
      <c r="H297" s="34" t="n">
        <f aca="false">H296*(1+Inputs!$B$13)</f>
        <v>872271.951082159</v>
      </c>
      <c r="I297" s="34" t="n">
        <f aca="false">I296*(1+Inputs!$B$13)</f>
        <v>872271.951082159</v>
      </c>
    </row>
    <row r="298" customFormat="false" ht="15" hidden="true" customHeight="true" outlineLevel="0" collapsed="false">
      <c r="B298" s="34" t="n">
        <f aca="false">B297*(1+Inputs!$B$13)</f>
        <v>898440.109614624</v>
      </c>
      <c r="C298" s="34" t="n">
        <f aca="false">C297*(1+Inputs!$B$13)</f>
        <v>898440.109614624</v>
      </c>
      <c r="D298" s="34" t="n">
        <f aca="false">D297*(1+Inputs!$B$13)</f>
        <v>898440.109614624</v>
      </c>
      <c r="E298" s="34" t="n">
        <f aca="false">E297*(1+Inputs!$B$13)</f>
        <v>898440.109614624</v>
      </c>
      <c r="F298" s="34" t="n">
        <f aca="false">F297*(1+Inputs!$B$13)</f>
        <v>898440.109614624</v>
      </c>
      <c r="G298" s="34" t="n">
        <f aca="false">G297*(1+Inputs!$B$13)</f>
        <v>898440.109614624</v>
      </c>
      <c r="H298" s="34" t="n">
        <f aca="false">H297*(1+Inputs!$B$13)</f>
        <v>898440.109614624</v>
      </c>
      <c r="I298" s="34" t="n">
        <f aca="false">I297*(1+Inputs!$B$13)</f>
        <v>898440.109614624</v>
      </c>
    </row>
    <row r="299" customFormat="false" ht="15" hidden="true" customHeight="true" outlineLevel="0" collapsed="false">
      <c r="B299" s="34" t="n">
        <f aca="false">B298*(1+Inputs!$B$13)</f>
        <v>925393.312903063</v>
      </c>
      <c r="C299" s="34" t="n">
        <f aca="false">C298*(1+Inputs!$B$13)</f>
        <v>925393.312903063</v>
      </c>
      <c r="D299" s="34" t="n">
        <f aca="false">D298*(1+Inputs!$B$13)</f>
        <v>925393.312903063</v>
      </c>
      <c r="E299" s="34" t="n">
        <f aca="false">E298*(1+Inputs!$B$13)</f>
        <v>925393.312903063</v>
      </c>
      <c r="F299" s="34" t="n">
        <f aca="false">F298*(1+Inputs!$B$13)</f>
        <v>925393.312903063</v>
      </c>
      <c r="G299" s="34" t="n">
        <f aca="false">G298*(1+Inputs!$B$13)</f>
        <v>925393.312903063</v>
      </c>
      <c r="H299" s="34" t="n">
        <f aca="false">H298*(1+Inputs!$B$13)</f>
        <v>925393.312903063</v>
      </c>
      <c r="I299" s="34" t="n">
        <f aca="false">I298*(1+Inputs!$B$13)</f>
        <v>925393.312903063</v>
      </c>
    </row>
    <row r="300" customFormat="false" ht="15" hidden="true" customHeight="true" outlineLevel="0" collapsed="false">
      <c r="B300" s="34" t="n">
        <f aca="false">B299*(1+Inputs!$B$13)</f>
        <v>953155.112290154</v>
      </c>
      <c r="C300" s="34" t="n">
        <f aca="false">C299*(1+Inputs!$B$13)</f>
        <v>953155.112290154</v>
      </c>
      <c r="D300" s="34" t="n">
        <f aca="false">D299*(1+Inputs!$B$13)</f>
        <v>953155.112290154</v>
      </c>
      <c r="E300" s="34" t="n">
        <f aca="false">E299*(1+Inputs!$B$13)</f>
        <v>953155.112290154</v>
      </c>
      <c r="F300" s="34" t="n">
        <f aca="false">F299*(1+Inputs!$B$13)</f>
        <v>953155.112290154</v>
      </c>
      <c r="G300" s="34" t="n">
        <f aca="false">G299*(1+Inputs!$B$13)</f>
        <v>953155.112290154</v>
      </c>
      <c r="H300" s="34" t="n">
        <f aca="false">H299*(1+Inputs!$B$13)</f>
        <v>953155.112290154</v>
      </c>
      <c r="I300" s="34" t="n">
        <f aca="false">I299*(1+Inputs!$B$13)</f>
        <v>953155.112290154</v>
      </c>
    </row>
    <row r="301" customFormat="false" ht="15" hidden="true" customHeight="true" outlineLevel="0" collapsed="false">
      <c r="B301" s="34" t="n">
        <f aca="false">B300*(1+Inputs!$B$13)</f>
        <v>981749.765658859</v>
      </c>
      <c r="C301" s="34" t="n">
        <f aca="false">C300*(1+Inputs!$B$13)</f>
        <v>981749.765658859</v>
      </c>
      <c r="D301" s="34" t="n">
        <f aca="false">D300*(1+Inputs!$B$13)</f>
        <v>981749.765658859</v>
      </c>
      <c r="E301" s="34" t="n">
        <f aca="false">E300*(1+Inputs!$B$13)</f>
        <v>981749.765658859</v>
      </c>
      <c r="F301" s="34" t="n">
        <f aca="false">F300*(1+Inputs!$B$13)</f>
        <v>981749.765658859</v>
      </c>
      <c r="G301" s="34" t="n">
        <f aca="false">G300*(1+Inputs!$B$13)</f>
        <v>981749.765658859</v>
      </c>
      <c r="H301" s="34" t="n">
        <f aca="false">H300*(1+Inputs!$B$13)</f>
        <v>981749.765658859</v>
      </c>
      <c r="I301" s="34" t="n">
        <f aca="false">I300*(1+Inputs!$B$13)</f>
        <v>981749.765658859</v>
      </c>
    </row>
    <row r="302" customFormat="false" ht="15" hidden="true" customHeight="true" outlineLevel="0" collapsed="false">
      <c r="B302" s="34" t="n">
        <f aca="false">B301*(1+Inputs!$B$13)</f>
        <v>1011202.25862862</v>
      </c>
      <c r="C302" s="34" t="n">
        <f aca="false">C301*(1+Inputs!$B$13)</f>
        <v>1011202.25862862</v>
      </c>
      <c r="D302" s="34" t="n">
        <f aca="false">D301*(1+Inputs!$B$13)</f>
        <v>1011202.25862862</v>
      </c>
      <c r="E302" s="34" t="n">
        <f aca="false">E301*(1+Inputs!$B$13)</f>
        <v>1011202.25862862</v>
      </c>
      <c r="F302" s="34" t="n">
        <f aca="false">F301*(1+Inputs!$B$13)</f>
        <v>1011202.25862862</v>
      </c>
      <c r="G302" s="34" t="n">
        <f aca="false">G301*(1+Inputs!$B$13)</f>
        <v>1011202.25862862</v>
      </c>
      <c r="H302" s="34" t="n">
        <f aca="false">H301*(1+Inputs!$B$13)</f>
        <v>1011202.25862862</v>
      </c>
      <c r="I302" s="34" t="n">
        <f aca="false">I301*(1+Inputs!$B$13)</f>
        <v>1011202.25862862</v>
      </c>
    </row>
    <row r="303" customFormat="false" ht="15" hidden="true" customHeight="true" outlineLevel="0" collapsed="false">
      <c r="B303" s="34" t="n">
        <f aca="false">B302*(1+Inputs!$B$13)</f>
        <v>1041538.32638748</v>
      </c>
      <c r="C303" s="34" t="n">
        <f aca="false">C302*(1+Inputs!$B$13)</f>
        <v>1041538.32638748</v>
      </c>
      <c r="D303" s="34" t="n">
        <f aca="false">D302*(1+Inputs!$B$13)</f>
        <v>1041538.32638748</v>
      </c>
      <c r="E303" s="34" t="n">
        <f aca="false">E302*(1+Inputs!$B$13)</f>
        <v>1041538.32638748</v>
      </c>
      <c r="F303" s="34" t="n">
        <f aca="false">F302*(1+Inputs!$B$13)</f>
        <v>1041538.32638748</v>
      </c>
      <c r="G303" s="34" t="n">
        <f aca="false">G302*(1+Inputs!$B$13)</f>
        <v>1041538.32638748</v>
      </c>
      <c r="H303" s="34" t="n">
        <f aca="false">H302*(1+Inputs!$B$13)</f>
        <v>1041538.32638748</v>
      </c>
      <c r="I303" s="34" t="n">
        <f aca="false">I302*(1+Inputs!$B$13)</f>
        <v>1041538.32638748</v>
      </c>
    </row>
    <row r="304" customFormat="false" ht="15" hidden="true" customHeight="true" outlineLevel="0" collapsed="false"/>
    <row r="305" customFormat="false" ht="15" hidden="true" customHeight="true" outlineLevel="0" collapsed="false">
      <c r="A305" s="33" t="s">
        <v>92</v>
      </c>
      <c r="B305" s="34" t="n">
        <f aca="false">(Inputs!$B$4*(1-Inputs!$B$5))</f>
        <v>343280</v>
      </c>
      <c r="C305" s="34" t="n">
        <f aca="false">(Inputs!$B$4*(1-Inputs!$B$5))</f>
        <v>343280</v>
      </c>
      <c r="D305" s="34" t="n">
        <f aca="false">(Inputs!$B$4*(1-Inputs!$B$5))</f>
        <v>343280</v>
      </c>
      <c r="E305" s="34" t="n">
        <f aca="false">(Inputs!$B$4*(1-Inputs!$B$5))</f>
        <v>343280</v>
      </c>
      <c r="F305" s="34" t="n">
        <f aca="false">(Inputs!$B$4*(1-Inputs!$B$5))</f>
        <v>343280</v>
      </c>
      <c r="G305" s="34" t="n">
        <f aca="false">(Inputs!$B$4*(1-Inputs!$B$5))</f>
        <v>343280</v>
      </c>
      <c r="H305" s="34" t="n">
        <f aca="false">(Inputs!$B$4*(1-Inputs!$B$5))</f>
        <v>343280</v>
      </c>
      <c r="I305" s="34" t="n">
        <f aca="false">(Inputs!$B$4*(1-Inputs!$B$5))</f>
        <v>343280</v>
      </c>
    </row>
    <row r="306" customFormat="false" ht="15" hidden="true" customHeight="true" outlineLevel="0" collapsed="false">
      <c r="B306" s="34" t="n">
        <f aca="false">IF(1&gt;=Inputs!$B$7,0,ROUND(-FV(B$268/12,1*12,-(-PMT(B$268/12,Inputs!$B$7*12,(Inputs!$B$4*(1-Inputs!$B$5)))*12)/12,(Inputs!$B$4*(1-Inputs!$B$5))),2))</f>
        <v>337742.12</v>
      </c>
      <c r="C306" s="34" t="n">
        <f aca="false">IF(1&gt;=Inputs!$B$7,0,ROUND(-FV(C$268/12,1*12,-(-PMT(C$268/12,Inputs!$B$7*12,(Inputs!$B$4*(1-Inputs!$B$5)))*12)/12,(Inputs!$B$4*(1-Inputs!$B$5))),2))</f>
        <v>338215.37</v>
      </c>
      <c r="D306" s="34" t="n">
        <f aca="false">IF(1&gt;=Inputs!$B$7,0,ROUND(-FV(D$268/12,1*12,-(-PMT(D$268/12,Inputs!$B$7*12,(Inputs!$B$4*(1-Inputs!$B$5)))*12)/12,(Inputs!$B$4*(1-Inputs!$B$5))),2))</f>
        <v>338655.71</v>
      </c>
      <c r="E306" s="34" t="n">
        <f aca="false">IF(1&gt;=Inputs!$B$7,0,ROUND(-FV(E$268/12,1*12,-(-PMT(E$268/12,Inputs!$B$7*12,(Inputs!$B$4*(1-Inputs!$B$5)))*12)/12,(Inputs!$B$4*(1-Inputs!$B$5))),2))</f>
        <v>339064.48</v>
      </c>
      <c r="F306" s="34" t="n">
        <f aca="false">IF(1&gt;=Inputs!$B$7,0,ROUND(-FV(F$268/12,1*12,-(-PMT(F$268/12,Inputs!$B$7*12,(Inputs!$B$4*(1-Inputs!$B$5)))*12)/12,(Inputs!$B$4*(1-Inputs!$B$5))),2))</f>
        <v>339257.46</v>
      </c>
      <c r="G306" s="34" t="n">
        <f aca="false">IF(1&gt;=Inputs!$B$7,0,ROUND(-FV(G$268/12,1*12,-(-PMT(G$268/12,Inputs!$B$7*12,(Inputs!$B$4*(1-Inputs!$B$5)))*12)/12,(Inputs!$B$4*(1-Inputs!$B$5))),2))</f>
        <v>339443.07</v>
      </c>
      <c r="H306" s="34" t="n">
        <f aca="false">IF(1&gt;=Inputs!$B$7,0,ROUND(-FV(H$268/12,1*12,-(-PMT(H$268/12,Inputs!$B$7*12,(Inputs!$B$4*(1-Inputs!$B$5)))*12)/12,(Inputs!$B$4*(1-Inputs!$B$5))),2))</f>
        <v>339792.93</v>
      </c>
      <c r="I306" s="34" t="n">
        <f aca="false">IF(1&gt;=Inputs!$B$7,0,ROUND(-FV(I$268/12,1*12,-(-PMT(I$268/12,Inputs!$B$7*12,(Inputs!$B$4*(1-Inputs!$B$5)))*12)/12,(Inputs!$B$4*(1-Inputs!$B$5))),2))</f>
        <v>340115.53</v>
      </c>
    </row>
    <row r="307" customFormat="false" ht="15" hidden="true" customHeight="true" outlineLevel="0" collapsed="false">
      <c r="B307" s="34" t="n">
        <f aca="false">IF(2&gt;=Inputs!$B$7,0,ROUND(-FV(B$268/12,2*12,-(-PMT(B$268/12,Inputs!$B$7*12,(Inputs!$B$4*(1-Inputs!$B$5)))*12)/12,(Inputs!$B$4*(1-Inputs!$B$5))),2))</f>
        <v>331949.82</v>
      </c>
      <c r="C307" s="34" t="n">
        <f aca="false">IF(2&gt;=Inputs!$B$7,0,ROUND(-FV(C$268/12,2*12,-(-PMT(C$268/12,Inputs!$B$7*12,(Inputs!$B$4*(1-Inputs!$B$5)))*12)/12,(Inputs!$B$4*(1-Inputs!$B$5))),2))</f>
        <v>332891.62</v>
      </c>
      <c r="D307" s="34" t="n">
        <f aca="false">IF(2&gt;=Inputs!$B$7,0,ROUND(-FV(D$268/12,2*12,-(-PMT(D$268/12,Inputs!$B$7*12,(Inputs!$B$4*(1-Inputs!$B$5)))*12)/12,(Inputs!$B$4*(1-Inputs!$B$5))),2))</f>
        <v>333770.58</v>
      </c>
      <c r="E307" s="34" t="n">
        <f aca="false">IF(2&gt;=Inputs!$B$7,0,ROUND(-FV(E$268/12,2*12,-(-PMT(E$268/12,Inputs!$B$7*12,(Inputs!$B$4*(1-Inputs!$B$5)))*12)/12,(Inputs!$B$4*(1-Inputs!$B$5))),2))</f>
        <v>334588.96</v>
      </c>
      <c r="F307" s="34" t="n">
        <f aca="false">IF(2&gt;=Inputs!$B$7,0,ROUND(-FV(F$268/12,2*12,-(-PMT(F$268/12,Inputs!$B$7*12,(Inputs!$B$4*(1-Inputs!$B$5)))*12)/12,(Inputs!$B$4*(1-Inputs!$B$5))),2))</f>
        <v>334976.18</v>
      </c>
      <c r="G307" s="34" t="n">
        <f aca="false">IF(2&gt;=Inputs!$B$7,0,ROUND(-FV(G$268/12,2*12,-(-PMT(G$268/12,Inputs!$B$7*12,(Inputs!$B$4*(1-Inputs!$B$5)))*12)/12,(Inputs!$B$4*(1-Inputs!$B$5))),2))</f>
        <v>335349.18</v>
      </c>
      <c r="H307" s="34" t="n">
        <f aca="false">IF(2&gt;=Inputs!$B$7,0,ROUND(-FV(H$268/12,2*12,-(-PMT(H$268/12,Inputs!$B$7*12,(Inputs!$B$4*(1-Inputs!$B$5)))*12)/12,(Inputs!$B$4*(1-Inputs!$B$5))),2))</f>
        <v>336053.78</v>
      </c>
      <c r="I307" s="34" t="n">
        <f aca="false">IF(2&gt;=Inputs!$B$7,0,ROUND(-FV(I$268/12,2*12,-(-PMT(I$268/12,Inputs!$B$7*12,(Inputs!$B$4*(1-Inputs!$B$5)))*12)/12,(Inputs!$B$4*(1-Inputs!$B$5))),2))</f>
        <v>336705.39</v>
      </c>
    </row>
    <row r="308" customFormat="false" ht="15" hidden="true" customHeight="true" outlineLevel="0" collapsed="false">
      <c r="B308" s="34" t="n">
        <f aca="false">IF(3&gt;=Inputs!$B$7,0,ROUND(-FV(B$268/12,3*12,-(-PMT(B$268/12,Inputs!$B$7*12,(Inputs!$B$4*(1-Inputs!$B$5)))*12)/12,(Inputs!$B$4*(1-Inputs!$B$5))),2))</f>
        <v>325891.43</v>
      </c>
      <c r="C308" s="34" t="n">
        <f aca="false">IF(3&gt;=Inputs!$B$7,0,ROUND(-FV(C$268/12,3*12,-(-PMT(C$268/12,Inputs!$B$7*12,(Inputs!$B$4*(1-Inputs!$B$5)))*12)/12,(Inputs!$B$4*(1-Inputs!$B$5))),2))</f>
        <v>327295.49</v>
      </c>
      <c r="D308" s="34" t="n">
        <f aca="false">IF(3&gt;=Inputs!$B$7,0,ROUND(-FV(D$268/12,3*12,-(-PMT(D$268/12,Inputs!$B$7*12,(Inputs!$B$4*(1-Inputs!$B$5)))*12)/12,(Inputs!$B$4*(1-Inputs!$B$5))),2))</f>
        <v>328609.88</v>
      </c>
      <c r="E308" s="34" t="n">
        <f aca="false">IF(3&gt;=Inputs!$B$7,0,ROUND(-FV(E$268/12,3*12,-(-PMT(E$268/12,Inputs!$B$7*12,(Inputs!$B$4*(1-Inputs!$B$5)))*12)/12,(Inputs!$B$4*(1-Inputs!$B$5))),2))</f>
        <v>329837.4</v>
      </c>
      <c r="F308" s="34" t="n">
        <f aca="false">IF(3&gt;=Inputs!$B$7,0,ROUND(-FV(F$268/12,3*12,-(-PMT(F$268/12,Inputs!$B$7*12,(Inputs!$B$4*(1-Inputs!$B$5)))*12)/12,(Inputs!$B$4*(1-Inputs!$B$5))),2))</f>
        <v>330419.53</v>
      </c>
      <c r="G308" s="34" t="n">
        <f aca="false">IF(3&gt;=Inputs!$B$7,0,ROUND(-FV(G$268/12,3*12,-(-PMT(G$268/12,Inputs!$B$7*12,(Inputs!$B$4*(1-Inputs!$B$5)))*12)/12,(Inputs!$B$4*(1-Inputs!$B$5))),2))</f>
        <v>330981.11</v>
      </c>
      <c r="H308" s="34" t="n">
        <f aca="false">IF(3&gt;=Inputs!$B$7,0,ROUND(-FV(H$268/12,3*12,-(-PMT(H$268/12,Inputs!$B$7*12,(Inputs!$B$4*(1-Inputs!$B$5)))*12)/12,(Inputs!$B$4*(1-Inputs!$B$5))),2))</f>
        <v>332044.32</v>
      </c>
      <c r="I308" s="34" t="n">
        <f aca="false">IF(3&gt;=Inputs!$B$7,0,ROUND(-FV(I$268/12,3*12,-(-PMT(I$268/12,Inputs!$B$7*12,(Inputs!$B$4*(1-Inputs!$B$5)))*12)/12,(Inputs!$B$4*(1-Inputs!$B$5))),2))</f>
        <v>333030.51</v>
      </c>
    </row>
    <row r="309" customFormat="false" ht="15" hidden="true" customHeight="true" outlineLevel="0" collapsed="false">
      <c r="B309" s="34" t="n">
        <f aca="false">IF(4&gt;=Inputs!$B$7,0,ROUND(-FV(B$268/12,4*12,-(-PMT(B$268/12,Inputs!$B$7*12,(Inputs!$B$4*(1-Inputs!$B$5)))*12)/12,(Inputs!$B$4*(1-Inputs!$B$5))),2))</f>
        <v>319554.72</v>
      </c>
      <c r="C309" s="34" t="n">
        <f aca="false">IF(4&gt;=Inputs!$B$7,0,ROUND(-FV(C$268/12,4*12,-(-PMT(C$268/12,Inputs!$B$7*12,(Inputs!$B$4*(1-Inputs!$B$5)))*12)/12,(Inputs!$B$4*(1-Inputs!$B$5))),2))</f>
        <v>321413.06</v>
      </c>
      <c r="D309" s="34" t="n">
        <f aca="false">IF(4&gt;=Inputs!$B$7,0,ROUND(-FV(D$268/12,4*12,-(-PMT(D$268/12,Inputs!$B$7*12,(Inputs!$B$4*(1-Inputs!$B$5)))*12)/12,(Inputs!$B$4*(1-Inputs!$B$5))),2))</f>
        <v>323158.08</v>
      </c>
      <c r="E309" s="34" t="n">
        <f aca="false">IF(4&gt;=Inputs!$B$7,0,ROUND(-FV(E$268/12,4*12,-(-PMT(E$268/12,Inputs!$B$7*12,(Inputs!$B$4*(1-Inputs!$B$5)))*12)/12,(Inputs!$B$4*(1-Inputs!$B$5))),2))</f>
        <v>324792.77</v>
      </c>
      <c r="F309" s="34" t="n">
        <f aca="false">IF(4&gt;=Inputs!$B$7,0,ROUND(-FV(F$268/12,4*12,-(-PMT(F$268/12,Inputs!$B$7*12,(Inputs!$B$4*(1-Inputs!$B$5)))*12)/12,(Inputs!$B$4*(1-Inputs!$B$5))),2))</f>
        <v>325569.78</v>
      </c>
      <c r="G309" s="34" t="n">
        <f aca="false">IF(4&gt;=Inputs!$B$7,0,ROUND(-FV(G$268/12,4*12,-(-PMT(G$268/12,Inputs!$B$7*12,(Inputs!$B$4*(1-Inputs!$B$5)))*12)/12,(Inputs!$B$4*(1-Inputs!$B$5))),2))</f>
        <v>326320.5</v>
      </c>
      <c r="H309" s="34" t="n">
        <f aca="false">IF(4&gt;=Inputs!$B$7,0,ROUND(-FV(H$268/12,4*12,-(-PMT(H$268/12,Inputs!$B$7*12,(Inputs!$B$4*(1-Inputs!$B$5)))*12)/12,(Inputs!$B$4*(1-Inputs!$B$5))),2))</f>
        <v>327745.02</v>
      </c>
      <c r="I309" s="34" t="n">
        <f aca="false">IF(4&gt;=Inputs!$B$7,0,ROUND(-FV(I$268/12,4*12,-(-PMT(I$268/12,Inputs!$B$7*12,(Inputs!$B$4*(1-Inputs!$B$5)))*12)/12,(Inputs!$B$4*(1-Inputs!$B$5))),2))</f>
        <v>329070.34</v>
      </c>
    </row>
    <row r="310" customFormat="false" ht="15" hidden="true" customHeight="true" outlineLevel="0" collapsed="false">
      <c r="B310" s="34" t="n">
        <f aca="false">IF(5&gt;=Inputs!$B$7,0,ROUND(-FV(B$268/12,5*12,-(-PMT(B$268/12,Inputs!$B$7*12,(Inputs!$B$4*(1-Inputs!$B$5)))*12)/12,(Inputs!$B$4*(1-Inputs!$B$5))),2))</f>
        <v>312926.9</v>
      </c>
      <c r="C310" s="34" t="n">
        <f aca="false">IF(5&gt;=Inputs!$B$7,0,ROUND(-FV(C$268/12,5*12,-(-PMT(C$268/12,Inputs!$B$7*12,(Inputs!$B$4*(1-Inputs!$B$5)))*12)/12,(Inputs!$B$4*(1-Inputs!$B$5))),2))</f>
        <v>315229.67</v>
      </c>
      <c r="D310" s="34" t="n">
        <f aca="false">IF(5&gt;=Inputs!$B$7,0,ROUND(-FV(D$268/12,5*12,-(-PMT(D$268/12,Inputs!$B$7*12,(Inputs!$B$4*(1-Inputs!$B$5)))*12)/12,(Inputs!$B$4*(1-Inputs!$B$5))),2))</f>
        <v>317398.76</v>
      </c>
      <c r="E310" s="34" t="n">
        <f aca="false">IF(5&gt;=Inputs!$B$7,0,ROUND(-FV(E$268/12,5*12,-(-PMT(E$268/12,Inputs!$B$7*12,(Inputs!$B$4*(1-Inputs!$B$5)))*12)/12,(Inputs!$B$4*(1-Inputs!$B$5))),2))</f>
        <v>319437</v>
      </c>
      <c r="F310" s="34" t="n">
        <f aca="false">IF(5&gt;=Inputs!$B$7,0,ROUND(-FV(F$268/12,5*12,-(-PMT(F$268/12,Inputs!$B$7*12,(Inputs!$B$4*(1-Inputs!$B$5)))*12)/12,(Inputs!$B$4*(1-Inputs!$B$5))),2))</f>
        <v>320408.08</v>
      </c>
      <c r="G310" s="34" t="n">
        <f aca="false">IF(5&gt;=Inputs!$B$7,0,ROUND(-FV(G$268/12,5*12,-(-PMT(G$268/12,Inputs!$B$7*12,(Inputs!$B$4*(1-Inputs!$B$5)))*12)/12,(Inputs!$B$4*(1-Inputs!$B$5))),2))</f>
        <v>321347.76</v>
      </c>
      <c r="H310" s="34" t="n">
        <f aca="false">IF(5&gt;=Inputs!$B$7,0,ROUND(-FV(H$268/12,5*12,-(-PMT(H$268/12,Inputs!$B$7*12,(Inputs!$B$4*(1-Inputs!$B$5)))*12)/12,(Inputs!$B$4*(1-Inputs!$B$5))),2))</f>
        <v>323134.92</v>
      </c>
      <c r="I310" s="34" t="n">
        <f aca="false">IF(5&gt;=Inputs!$B$7,0,ROUND(-FV(I$268/12,5*12,-(-PMT(I$268/12,Inputs!$B$7*12,(Inputs!$B$4*(1-Inputs!$B$5)))*12)/12,(Inputs!$B$4*(1-Inputs!$B$5))),2))</f>
        <v>324802.74</v>
      </c>
    </row>
    <row r="311" customFormat="false" ht="15" hidden="true" customHeight="true" outlineLevel="0" collapsed="false">
      <c r="B311" s="34" t="n">
        <f aca="false">IF(6&gt;=Inputs!$B$7,0,ROUND(-FV(B$268/12,6*12,-(-PMT(B$268/12,Inputs!$B$7*12,(Inputs!$B$4*(1-Inputs!$B$5)))*12)/12,(Inputs!$B$4*(1-Inputs!$B$5))),2))</f>
        <v>305994.6</v>
      </c>
      <c r="C311" s="34" t="n">
        <f aca="false">IF(6&gt;=Inputs!$B$7,0,ROUND(-FV(C$268/12,6*12,-(-PMT(C$268/12,Inputs!$B$7*12,(Inputs!$B$4*(1-Inputs!$B$5)))*12)/12,(Inputs!$B$4*(1-Inputs!$B$5))),2))</f>
        <v>308729.93</v>
      </c>
      <c r="D311" s="34" t="n">
        <f aca="false">IF(6&gt;=Inputs!$B$7,0,ROUND(-FV(D$268/12,6*12,-(-PMT(D$268/12,Inputs!$B$7*12,(Inputs!$B$4*(1-Inputs!$B$5)))*12)/12,(Inputs!$B$4*(1-Inputs!$B$5))),2))</f>
        <v>311314.57</v>
      </c>
      <c r="E311" s="34" t="n">
        <f aca="false">IF(6&gt;=Inputs!$B$7,0,ROUND(-FV(E$268/12,6*12,-(-PMT(E$268/12,Inputs!$B$7*12,(Inputs!$B$4*(1-Inputs!$B$5)))*12)/12,(Inputs!$B$4*(1-Inputs!$B$5))),2))</f>
        <v>313750.89</v>
      </c>
      <c r="F311" s="34" t="n">
        <f aca="false">IF(6&gt;=Inputs!$B$7,0,ROUND(-FV(F$268/12,6*12,-(-PMT(F$268/12,Inputs!$B$7*12,(Inputs!$B$4*(1-Inputs!$B$5)))*12)/12,(Inputs!$B$4*(1-Inputs!$B$5))),2))</f>
        <v>314914.38</v>
      </c>
      <c r="G311" s="34" t="n">
        <f aca="false">IF(6&gt;=Inputs!$B$7,0,ROUND(-FV(G$268/12,6*12,-(-PMT(G$268/12,Inputs!$B$7*12,(Inputs!$B$4*(1-Inputs!$B$5)))*12)/12,(Inputs!$B$4*(1-Inputs!$B$5))),2))</f>
        <v>316041.99</v>
      </c>
      <c r="H311" s="34" t="n">
        <f aca="false">IF(6&gt;=Inputs!$B$7,0,ROUND(-FV(H$268/12,6*12,-(-PMT(H$268/12,Inputs!$B$7*12,(Inputs!$B$4*(1-Inputs!$B$5)))*12)/12,(Inputs!$B$4*(1-Inputs!$B$5))),2))</f>
        <v>318191.56</v>
      </c>
      <c r="I311" s="34" t="n">
        <f aca="false">IF(6&gt;=Inputs!$B$7,0,ROUND(-FV(I$268/12,6*12,-(-PMT(I$268/12,Inputs!$B$7*12,(Inputs!$B$4*(1-Inputs!$B$5)))*12)/12,(Inputs!$B$4*(1-Inputs!$B$5))),2))</f>
        <v>320203.82</v>
      </c>
    </row>
    <row r="312" customFormat="false" ht="15" hidden="true" customHeight="true" outlineLevel="0" collapsed="false">
      <c r="B312" s="34" t="n">
        <f aca="false">IF(7&gt;=Inputs!$B$7,0,ROUND(-FV(B$268/12,7*12,-(-PMT(B$268/12,Inputs!$B$7*12,(Inputs!$B$4*(1-Inputs!$B$5)))*12)/12,(Inputs!$B$4*(1-Inputs!$B$5))),2))</f>
        <v>298743.83</v>
      </c>
      <c r="C312" s="34" t="n">
        <f aca="false">IF(7&gt;=Inputs!$B$7,0,ROUND(-FV(C$268/12,7*12,-(-PMT(C$268/12,Inputs!$B$7*12,(Inputs!$B$4*(1-Inputs!$B$5)))*12)/12,(Inputs!$B$4*(1-Inputs!$B$5))),2))</f>
        <v>301897.65</v>
      </c>
      <c r="D312" s="34" t="n">
        <f aca="false">IF(7&gt;=Inputs!$B$7,0,ROUND(-FV(D$268/12,7*12,-(-PMT(D$268/12,Inputs!$B$7*12,(Inputs!$B$4*(1-Inputs!$B$5)))*12)/12,(Inputs!$B$4*(1-Inputs!$B$5))),2))</f>
        <v>304887.18</v>
      </c>
      <c r="E312" s="34" t="n">
        <f aca="false">IF(7&gt;=Inputs!$B$7,0,ROUND(-FV(E$268/12,7*12,-(-PMT(E$268/12,Inputs!$B$7*12,(Inputs!$B$4*(1-Inputs!$B$5)))*12)/12,(Inputs!$B$4*(1-Inputs!$B$5))),2))</f>
        <v>307714.08</v>
      </c>
      <c r="F312" s="34" t="n">
        <f aca="false">IF(7&gt;=Inputs!$B$7,0,ROUND(-FV(F$268/12,7*12,-(-PMT(F$268/12,Inputs!$B$7*12,(Inputs!$B$4*(1-Inputs!$B$5)))*12)/12,(Inputs!$B$4*(1-Inputs!$B$5))),2))</f>
        <v>309067.31</v>
      </c>
      <c r="G312" s="34" t="n">
        <f aca="false">IF(7&gt;=Inputs!$B$7,0,ROUND(-FV(G$268/12,7*12,-(-PMT(G$268/12,Inputs!$B$7*12,(Inputs!$B$4*(1-Inputs!$B$5)))*12)/12,(Inputs!$B$4*(1-Inputs!$B$5))),2))</f>
        <v>310380.89</v>
      </c>
      <c r="H312" s="34" t="n">
        <f aca="false">IF(7&gt;=Inputs!$B$7,0,ROUND(-FV(H$268/12,7*12,-(-PMT(H$268/12,Inputs!$B$7*12,(Inputs!$B$4*(1-Inputs!$B$5)))*12)/12,(Inputs!$B$4*(1-Inputs!$B$5))),2))</f>
        <v>312890.84</v>
      </c>
      <c r="I312" s="34" t="n">
        <f aca="false">IF(7&gt;=Inputs!$B$7,0,ROUND(-FV(I$268/12,7*12,-(-PMT(I$268/12,Inputs!$B$7*12,(Inputs!$B$4*(1-Inputs!$B$5)))*12)/12,(Inputs!$B$4*(1-Inputs!$B$5))),2))</f>
        <v>315247.89</v>
      </c>
    </row>
    <row r="313" customFormat="false" ht="15" hidden="true" customHeight="true" outlineLevel="0" collapsed="false">
      <c r="B313" s="34" t="n">
        <f aca="false">IF(8&gt;=Inputs!$B$7,0,ROUND(-FV(B$268/12,8*12,-(-PMT(B$268/12,Inputs!$B$7*12,(Inputs!$B$4*(1-Inputs!$B$5)))*12)/12,(Inputs!$B$4*(1-Inputs!$B$5))),2))</f>
        <v>291159.96</v>
      </c>
      <c r="C313" s="34" t="n">
        <f aca="false">IF(8&gt;=Inputs!$B$7,0,ROUND(-FV(C$268/12,8*12,-(-PMT(C$268/12,Inputs!$B$7*12,(Inputs!$B$4*(1-Inputs!$B$5)))*12)/12,(Inputs!$B$4*(1-Inputs!$B$5))),2))</f>
        <v>294715.81</v>
      </c>
      <c r="D313" s="34" t="n">
        <f aca="false">IF(8&gt;=Inputs!$B$7,0,ROUND(-FV(D$268/12,8*12,-(-PMT(D$268/12,Inputs!$B$7*12,(Inputs!$B$4*(1-Inputs!$B$5)))*12)/12,(Inputs!$B$4*(1-Inputs!$B$5))),2))</f>
        <v>298097.23</v>
      </c>
      <c r="E313" s="34" t="n">
        <f aca="false">IF(8&gt;=Inputs!$B$7,0,ROUND(-FV(E$268/12,8*12,-(-PMT(E$268/12,Inputs!$B$7*12,(Inputs!$B$4*(1-Inputs!$B$5)))*12)/12,(Inputs!$B$4*(1-Inputs!$B$5))),2))</f>
        <v>301304.94</v>
      </c>
      <c r="F313" s="34" t="n">
        <f aca="false">IF(8&gt;=Inputs!$B$7,0,ROUND(-FV(F$268/12,8*12,-(-PMT(F$268/12,Inputs!$B$7*12,(Inputs!$B$4*(1-Inputs!$B$5)))*12)/12,(Inputs!$B$4*(1-Inputs!$B$5))),2))</f>
        <v>302844.15</v>
      </c>
      <c r="G313" s="34" t="n">
        <f aca="false">IF(8&gt;=Inputs!$B$7,0,ROUND(-FV(G$268/12,8*12,-(-PMT(G$268/12,Inputs!$B$7*12,(Inputs!$B$4*(1-Inputs!$B$5)))*12)/12,(Inputs!$B$4*(1-Inputs!$B$5))),2))</f>
        <v>304340.64</v>
      </c>
      <c r="H313" s="34" t="n">
        <f aca="false">IF(8&gt;=Inputs!$B$7,0,ROUND(-FV(H$268/12,8*12,-(-PMT(H$268/12,Inputs!$B$7*12,(Inputs!$B$4*(1-Inputs!$B$5)))*12)/12,(Inputs!$B$4*(1-Inputs!$B$5))),2))</f>
        <v>307206.94</v>
      </c>
      <c r="I313" s="34" t="n">
        <f aca="false">IF(8&gt;=Inputs!$B$7,0,ROUND(-FV(I$268/12,8*12,-(-PMT(I$268/12,Inputs!$B$7*12,(Inputs!$B$4*(1-Inputs!$B$5)))*12)/12,(Inputs!$B$4*(1-Inputs!$B$5))),2))</f>
        <v>309907.21</v>
      </c>
    </row>
    <row r="314" customFormat="false" ht="15" hidden="true" customHeight="true" outlineLevel="0" collapsed="false">
      <c r="B314" s="34" t="n">
        <f aca="false">IF(9&gt;=Inputs!$B$7,0,ROUND(-FV(B$268/12,9*12,-(-PMT(B$268/12,Inputs!$B$7*12,(Inputs!$B$4*(1-Inputs!$B$5)))*12)/12,(Inputs!$B$4*(1-Inputs!$B$5))),2))</f>
        <v>283227.69</v>
      </c>
      <c r="C314" s="34" t="n">
        <f aca="false">IF(9&gt;=Inputs!$B$7,0,ROUND(-FV(C$268/12,9*12,-(-PMT(C$268/12,Inputs!$B$7*12,(Inputs!$B$4*(1-Inputs!$B$5)))*12)/12,(Inputs!$B$4*(1-Inputs!$B$5))),2))</f>
        <v>287166.54</v>
      </c>
      <c r="D314" s="34" t="n">
        <f aca="false">IF(9&gt;=Inputs!$B$7,0,ROUND(-FV(D$268/12,9*12,-(-PMT(D$268/12,Inputs!$B$7*12,(Inputs!$B$4*(1-Inputs!$B$5)))*12)/12,(Inputs!$B$4*(1-Inputs!$B$5))),2))</f>
        <v>290924.28</v>
      </c>
      <c r="E314" s="34" t="n">
        <f aca="false">IF(9&gt;=Inputs!$B$7,0,ROUND(-FV(E$268/12,9*12,-(-PMT(E$268/12,Inputs!$B$7*12,(Inputs!$B$4*(1-Inputs!$B$5)))*12)/12,(Inputs!$B$4*(1-Inputs!$B$5))),2))</f>
        <v>294500.49</v>
      </c>
      <c r="F314" s="34" t="n">
        <f aca="false">IF(9&gt;=Inputs!$B$7,0,ROUND(-FV(F$268/12,9*12,-(-PMT(F$268/12,Inputs!$B$7*12,(Inputs!$B$4*(1-Inputs!$B$5)))*12)/12,(Inputs!$B$4*(1-Inputs!$B$5))),2))</f>
        <v>296220.7</v>
      </c>
      <c r="G314" s="34" t="n">
        <f aca="false">IF(9&gt;=Inputs!$B$7,0,ROUND(-FV(G$268/12,9*12,-(-PMT(G$268/12,Inputs!$B$7*12,(Inputs!$B$4*(1-Inputs!$B$5)))*12)/12,(Inputs!$B$4*(1-Inputs!$B$5))),2))</f>
        <v>297895.87</v>
      </c>
      <c r="H314" s="34" t="n">
        <f aca="false">IF(9&gt;=Inputs!$B$7,0,ROUND(-FV(H$268/12,9*12,-(-PMT(H$268/12,Inputs!$B$7*12,(Inputs!$B$4*(1-Inputs!$B$5)))*12)/12,(Inputs!$B$4*(1-Inputs!$B$5))),2))</f>
        <v>301112.14</v>
      </c>
      <c r="I314" s="34" t="n">
        <f aca="false">IF(9&gt;=Inputs!$B$7,0,ROUND(-FV(I$268/12,9*12,-(-PMT(I$268/12,Inputs!$B$7*12,(Inputs!$B$4*(1-Inputs!$B$5)))*12)/12,(Inputs!$B$4*(1-Inputs!$B$5))),2))</f>
        <v>304151.92</v>
      </c>
    </row>
    <row r="315" customFormat="false" ht="15" hidden="true" customHeight="true" outlineLevel="0" collapsed="false">
      <c r="B315" s="34" t="n">
        <f aca="false">IF(10&gt;=Inputs!$B$7,0,ROUND(-FV(B$268/12,10*12,-(-PMT(B$268/12,Inputs!$B$7*12,(Inputs!$B$4*(1-Inputs!$B$5)))*12)/12,(Inputs!$B$4*(1-Inputs!$B$5))),2))</f>
        <v>274931.01</v>
      </c>
      <c r="C315" s="34" t="n">
        <f aca="false">IF(10&gt;=Inputs!$B$7,0,ROUND(-FV(C$268/12,10*12,-(-PMT(C$268/12,Inputs!$B$7*12,(Inputs!$B$4*(1-Inputs!$B$5)))*12)/12,(Inputs!$B$4*(1-Inputs!$B$5))),2))</f>
        <v>279231.04</v>
      </c>
      <c r="D315" s="34" t="n">
        <f aca="false">IF(10&gt;=Inputs!$B$7,0,ROUND(-FV(D$268/12,10*12,-(-PMT(D$268/12,Inputs!$B$7*12,(Inputs!$B$4*(1-Inputs!$B$5)))*12)/12,(Inputs!$B$4*(1-Inputs!$B$5))),2))</f>
        <v>283346.71</v>
      </c>
      <c r="E315" s="34" t="n">
        <f aca="false">IF(10&gt;=Inputs!$B$7,0,ROUND(-FV(E$268/12,10*12,-(-PMT(E$268/12,Inputs!$B$7*12,(Inputs!$B$4*(1-Inputs!$B$5)))*12)/12,(Inputs!$B$4*(1-Inputs!$B$5))),2))</f>
        <v>287276.36</v>
      </c>
      <c r="F315" s="34" t="n">
        <f aca="false">IF(10&gt;=Inputs!$B$7,0,ROUND(-FV(F$268/12,10*12,-(-PMT(F$268/12,Inputs!$B$7*12,(Inputs!$B$4*(1-Inputs!$B$5)))*12)/12,(Inputs!$B$4*(1-Inputs!$B$5))),2))</f>
        <v>289171.22</v>
      </c>
      <c r="G315" s="34" t="n">
        <f aca="false">IF(10&gt;=Inputs!$B$7,0,ROUND(-FV(G$268/12,10*12,-(-PMT(G$268/12,Inputs!$B$7*12,(Inputs!$B$4*(1-Inputs!$B$5)))*12)/12,(Inputs!$B$4*(1-Inputs!$B$5))),2))</f>
        <v>291019.49</v>
      </c>
      <c r="H315" s="34" t="n">
        <f aca="false">IF(10&gt;=Inputs!$B$7,0,ROUND(-FV(H$268/12,10*12,-(-PMT(H$268/12,Inputs!$B$7*12,(Inputs!$B$4*(1-Inputs!$B$5)))*12)/12,(Inputs!$B$4*(1-Inputs!$B$5))),2))</f>
        <v>294576.75</v>
      </c>
      <c r="I315" s="34" t="n">
        <f aca="false">IF(10&gt;=Inputs!$B$7,0,ROUND(-FV(I$268/12,10*12,-(-PMT(I$268/12,Inputs!$B$7*12,(Inputs!$B$4*(1-Inputs!$B$5)))*12)/12,(Inputs!$B$4*(1-Inputs!$B$5))),2))</f>
        <v>297949.83</v>
      </c>
    </row>
    <row r="316" customFormat="false" ht="15" hidden="true" customHeight="true" outlineLevel="0" collapsed="false">
      <c r="B316" s="34" t="n">
        <f aca="false">IF(11&gt;=Inputs!$B$7,0,ROUND(-FV(B$268/12,11*12,-(-PMT(B$268/12,Inputs!$B$7*12,(Inputs!$B$4*(1-Inputs!$B$5)))*12)/12,(Inputs!$B$4*(1-Inputs!$B$5))),2))</f>
        <v>266253.19</v>
      </c>
      <c r="C316" s="34" t="n">
        <f aca="false">IF(11&gt;=Inputs!$B$7,0,ROUND(-FV(C$268/12,11*12,-(-PMT(C$268/12,Inputs!$B$7*12,(Inputs!$B$4*(1-Inputs!$B$5)))*12)/12,(Inputs!$B$4*(1-Inputs!$B$5))),2))</f>
        <v>270889.54</v>
      </c>
      <c r="D316" s="34" t="n">
        <f aca="false">IF(11&gt;=Inputs!$B$7,0,ROUND(-FV(D$268/12,11*12,-(-PMT(D$268/12,Inputs!$B$7*12,(Inputs!$B$4*(1-Inputs!$B$5)))*12)/12,(Inputs!$B$4*(1-Inputs!$B$5))),2))</f>
        <v>275341.72</v>
      </c>
      <c r="E316" s="34" t="n">
        <f aca="false">IF(11&gt;=Inputs!$B$7,0,ROUND(-FV(E$268/12,11*12,-(-PMT(E$268/12,Inputs!$B$7*12,(Inputs!$B$4*(1-Inputs!$B$5)))*12)/12,(Inputs!$B$4*(1-Inputs!$B$5))),2))</f>
        <v>279606.66</v>
      </c>
      <c r="F316" s="34" t="n">
        <f aca="false">IF(11&gt;=Inputs!$B$7,0,ROUND(-FV(F$268/12,11*12,-(-PMT(F$268/12,Inputs!$B$7*12,(Inputs!$B$4*(1-Inputs!$B$5)))*12)/12,(Inputs!$B$4*(1-Inputs!$B$5))),2))</f>
        <v>281668.31</v>
      </c>
      <c r="G316" s="34" t="n">
        <f aca="false">IF(11&gt;=Inputs!$B$7,0,ROUND(-FV(G$268/12,11*12,-(-PMT(G$268/12,Inputs!$B$7*12,(Inputs!$B$4*(1-Inputs!$B$5)))*12)/12,(Inputs!$B$4*(1-Inputs!$B$5))),2))</f>
        <v>283682.58</v>
      </c>
      <c r="H316" s="34" t="n">
        <f aca="false">IF(11&gt;=Inputs!$B$7,0,ROUND(-FV(H$268/12,11*12,-(-PMT(H$268/12,Inputs!$B$7*12,(Inputs!$B$4*(1-Inputs!$B$5)))*12)/12,(Inputs!$B$4*(1-Inputs!$B$5))),2))</f>
        <v>287568.92</v>
      </c>
      <c r="I316" s="34" t="n">
        <f aca="false">IF(11&gt;=Inputs!$B$7,0,ROUND(-FV(I$268/12,11*12,-(-PMT(I$268/12,Inputs!$B$7*12,(Inputs!$B$4*(1-Inputs!$B$5)))*12)/12,(Inputs!$B$4*(1-Inputs!$B$5))),2))</f>
        <v>291266.26</v>
      </c>
    </row>
    <row r="317" customFormat="false" ht="15" hidden="true" customHeight="true" outlineLevel="0" collapsed="false">
      <c r="B317" s="34" t="n">
        <f aca="false">IF(12&gt;=Inputs!$B$7,0,ROUND(-FV(B$268/12,12*12,-(-PMT(B$268/12,Inputs!$B$7*12,(Inputs!$B$4*(1-Inputs!$B$5)))*12)/12,(Inputs!$B$4*(1-Inputs!$B$5))),2))</f>
        <v>257176.7</v>
      </c>
      <c r="C317" s="34" t="n">
        <f aca="false">IF(12&gt;=Inputs!$B$7,0,ROUND(-FV(C$268/12,12*12,-(-PMT(C$268/12,Inputs!$B$7*12,(Inputs!$B$4*(1-Inputs!$B$5)))*12)/12,(Inputs!$B$4*(1-Inputs!$B$5))),2))</f>
        <v>262121.27</v>
      </c>
      <c r="D317" s="34" t="n">
        <f aca="false">IF(12&gt;=Inputs!$B$7,0,ROUND(-FV(D$268/12,12*12,-(-PMT(D$268/12,Inputs!$B$7*12,(Inputs!$B$4*(1-Inputs!$B$5)))*12)/12,(Inputs!$B$4*(1-Inputs!$B$5))),2))</f>
        <v>266885.18</v>
      </c>
      <c r="E317" s="34" t="n">
        <f aca="false">IF(12&gt;=Inputs!$B$7,0,ROUND(-FV(E$268/12,12*12,-(-PMT(E$268/12,Inputs!$B$7*12,(Inputs!$B$4*(1-Inputs!$B$5)))*12)/12,(Inputs!$B$4*(1-Inputs!$B$5))),2))</f>
        <v>271463.9</v>
      </c>
      <c r="F317" s="34" t="n">
        <f aca="false">IF(12&gt;=Inputs!$B$7,0,ROUND(-FV(F$268/12,12*12,-(-PMT(F$268/12,Inputs!$B$7*12,(Inputs!$B$4*(1-Inputs!$B$5)))*12)/12,(Inputs!$B$4*(1-Inputs!$B$5))),2))</f>
        <v>273682.79</v>
      </c>
      <c r="G317" s="34" t="n">
        <f aca="false">IF(12&gt;=Inputs!$B$7,0,ROUND(-FV(G$268/12,12*12,-(-PMT(G$268/12,Inputs!$B$7*12,(Inputs!$B$4*(1-Inputs!$B$5)))*12)/12,(Inputs!$B$4*(1-Inputs!$B$5))),2))</f>
        <v>275854.3</v>
      </c>
      <c r="H317" s="34" t="n">
        <f aca="false">IF(12&gt;=Inputs!$B$7,0,ROUND(-FV(H$268/12,12*12,-(-PMT(H$268/12,Inputs!$B$7*12,(Inputs!$B$4*(1-Inputs!$B$5)))*12)/12,(Inputs!$B$4*(1-Inputs!$B$5))),2))</f>
        <v>280054.49</v>
      </c>
      <c r="I317" s="34" t="n">
        <f aca="false">IF(12&gt;=Inputs!$B$7,0,ROUND(-FV(I$268/12,12*12,-(-PMT(I$268/12,Inputs!$B$7*12,(Inputs!$B$4*(1-Inputs!$B$5)))*12)/12,(Inputs!$B$4*(1-Inputs!$B$5))),2))</f>
        <v>284063.82</v>
      </c>
    </row>
    <row r="318" customFormat="false" ht="15" hidden="true" customHeight="true" outlineLevel="0" collapsed="false">
      <c r="B318" s="34" t="n">
        <f aca="false">IF(13&gt;=Inputs!$B$7,0,ROUND(-FV(B$268/12,13*12,-(-PMT(B$268/12,Inputs!$B$7*12,(Inputs!$B$4*(1-Inputs!$B$5)))*12)/12,(Inputs!$B$4*(1-Inputs!$B$5))),2))</f>
        <v>247683.25</v>
      </c>
      <c r="C318" s="34" t="n">
        <f aca="false">IF(13&gt;=Inputs!$B$7,0,ROUND(-FV(C$268/12,13*12,-(-PMT(C$268/12,Inputs!$B$7*12,(Inputs!$B$4*(1-Inputs!$B$5)))*12)/12,(Inputs!$B$4*(1-Inputs!$B$5))),2))</f>
        <v>252904.4</v>
      </c>
      <c r="D318" s="34" t="n">
        <f aca="false">IF(13&gt;=Inputs!$B$7,0,ROUND(-FV(D$268/12,13*12,-(-PMT(D$268/12,Inputs!$B$7*12,(Inputs!$B$4*(1-Inputs!$B$5)))*12)/12,(Inputs!$B$4*(1-Inputs!$B$5))),2))</f>
        <v>257951.62</v>
      </c>
      <c r="E318" s="34" t="n">
        <f aca="false">IF(13&gt;=Inputs!$B$7,0,ROUND(-FV(E$268/12,13*12,-(-PMT(E$268/12,Inputs!$B$7*12,(Inputs!$B$4*(1-Inputs!$B$5)))*12)/12,(Inputs!$B$4*(1-Inputs!$B$5))),2))</f>
        <v>262818.93</v>
      </c>
      <c r="F318" s="34" t="n">
        <f aca="false">IF(13&gt;=Inputs!$B$7,0,ROUND(-FV(F$268/12,13*12,-(-PMT(F$268/12,Inputs!$B$7*12,(Inputs!$B$4*(1-Inputs!$B$5)))*12)/12,(Inputs!$B$4*(1-Inputs!$B$5))),2))</f>
        <v>265183.63</v>
      </c>
      <c r="G318" s="34" t="n">
        <f aca="false">IF(13&gt;=Inputs!$B$7,0,ROUND(-FV(G$268/12,13*12,-(-PMT(G$268/12,Inputs!$B$7*12,(Inputs!$B$4*(1-Inputs!$B$5)))*12)/12,(Inputs!$B$4*(1-Inputs!$B$5))),2))</f>
        <v>267501.75</v>
      </c>
      <c r="H318" s="34" t="n">
        <f aca="false">IF(13&gt;=Inputs!$B$7,0,ROUND(-FV(H$268/12,13*12,-(-PMT(H$268/12,Inputs!$B$7*12,(Inputs!$B$4*(1-Inputs!$B$5)))*12)/12,(Inputs!$B$4*(1-Inputs!$B$5))),2))</f>
        <v>271996.84</v>
      </c>
      <c r="I318" s="34" t="n">
        <f aca="false">IF(13&gt;=Inputs!$B$7,0,ROUND(-FV(I$268/12,13*12,-(-PMT(I$268/12,Inputs!$B$7*12,(Inputs!$B$4*(1-Inputs!$B$5)))*12)/12,(Inputs!$B$4*(1-Inputs!$B$5))),2))</f>
        <v>276302.25</v>
      </c>
    </row>
    <row r="319" customFormat="false" ht="15" hidden="true" customHeight="true" outlineLevel="0" collapsed="false">
      <c r="B319" s="34" t="n">
        <f aca="false">IF(14&gt;=Inputs!$B$7,0,ROUND(-FV(B$268/12,14*12,-(-PMT(B$268/12,Inputs!$B$7*12,(Inputs!$B$4*(1-Inputs!$B$5)))*12)/12,(Inputs!$B$4*(1-Inputs!$B$5))),2))</f>
        <v>237753.67</v>
      </c>
      <c r="C319" s="34" t="n">
        <f aca="false">IF(14&gt;=Inputs!$B$7,0,ROUND(-FV(C$268/12,14*12,-(-PMT(C$268/12,Inputs!$B$7*12,(Inputs!$B$4*(1-Inputs!$B$5)))*12)/12,(Inputs!$B$4*(1-Inputs!$B$5))),2))</f>
        <v>243215.98</v>
      </c>
      <c r="D319" s="34" t="n">
        <f aca="false">IF(14&gt;=Inputs!$B$7,0,ROUND(-FV(D$268/12,14*12,-(-PMT(D$268/12,Inputs!$B$7*12,(Inputs!$B$4*(1-Inputs!$B$5)))*12)/12,(Inputs!$B$4*(1-Inputs!$B$5))),2))</f>
        <v>248514.14</v>
      </c>
      <c r="E319" s="34" t="n">
        <f aca="false">IF(14&gt;=Inputs!$B$7,0,ROUND(-FV(E$268/12,14*12,-(-PMT(E$268/12,Inputs!$B$7*12,(Inputs!$B$4*(1-Inputs!$B$5)))*12)/12,(Inputs!$B$4*(1-Inputs!$B$5))),2))</f>
        <v>253640.74</v>
      </c>
      <c r="F319" s="34" t="n">
        <f aca="false">IF(14&gt;=Inputs!$B$7,0,ROUND(-FV(F$268/12,14*12,-(-PMT(F$268/12,Inputs!$B$7*12,(Inputs!$B$4*(1-Inputs!$B$5)))*12)/12,(Inputs!$B$4*(1-Inputs!$B$5))),2))</f>
        <v>256137.79</v>
      </c>
      <c r="G319" s="34" t="n">
        <f aca="false">IF(14&gt;=Inputs!$B$7,0,ROUND(-FV(G$268/12,14*12,-(-PMT(G$268/12,Inputs!$B$7*12,(Inputs!$B$4*(1-Inputs!$B$5)))*12)/12,(Inputs!$B$4*(1-Inputs!$B$5))),2))</f>
        <v>258589.81</v>
      </c>
      <c r="H319" s="34" t="n">
        <f aca="false">IF(14&gt;=Inputs!$B$7,0,ROUND(-FV(H$268/12,14*12,-(-PMT(H$268/12,Inputs!$B$7*12,(Inputs!$B$4*(1-Inputs!$B$5)))*12)/12,(Inputs!$B$4*(1-Inputs!$B$5))),2))</f>
        <v>263356.7</v>
      </c>
      <c r="I319" s="34" t="n">
        <f aca="false">IF(14&gt;=Inputs!$B$7,0,ROUND(-FV(I$268/12,14*12,-(-PMT(I$268/12,Inputs!$B$7*12,(Inputs!$B$4*(1-Inputs!$B$5)))*12)/12,(Inputs!$B$4*(1-Inputs!$B$5))),2))</f>
        <v>267938.12</v>
      </c>
    </row>
    <row r="320" customFormat="false" ht="15" hidden="true" customHeight="true" outlineLevel="0" collapsed="false">
      <c r="B320" s="34" t="n">
        <f aca="false">IF(15&gt;=Inputs!$B$7,0,ROUND(-FV(B$268/12,15*12,-(-PMT(B$268/12,Inputs!$B$7*12,(Inputs!$B$4*(1-Inputs!$B$5)))*12)/12,(Inputs!$B$4*(1-Inputs!$B$5))),2))</f>
        <v>227367.92</v>
      </c>
      <c r="C320" s="34" t="n">
        <f aca="false">IF(15&gt;=Inputs!$B$7,0,ROUND(-FV(C$268/12,15*12,-(-PMT(C$268/12,Inputs!$B$7*12,(Inputs!$B$4*(1-Inputs!$B$5)))*12)/12,(Inputs!$B$4*(1-Inputs!$B$5))),2))</f>
        <v>233031.88</v>
      </c>
      <c r="D320" s="34" t="n">
        <f aca="false">IF(15&gt;=Inputs!$B$7,0,ROUND(-FV(D$268/12,15*12,-(-PMT(D$268/12,Inputs!$B$7*12,(Inputs!$B$4*(1-Inputs!$B$5)))*12)/12,(Inputs!$B$4*(1-Inputs!$B$5))),2))</f>
        <v>238544.31</v>
      </c>
      <c r="E320" s="34" t="n">
        <f aca="false">IF(15&gt;=Inputs!$B$7,0,ROUND(-FV(E$268/12,15*12,-(-PMT(E$268/12,Inputs!$B$7*12,(Inputs!$B$4*(1-Inputs!$B$5)))*12)/12,(Inputs!$B$4*(1-Inputs!$B$5))),2))</f>
        <v>243896.47</v>
      </c>
      <c r="F320" s="34" t="n">
        <f aca="false">IF(15&gt;=Inputs!$B$7,0,ROUND(-FV(F$268/12,15*12,-(-PMT(F$268/12,Inputs!$B$7*12,(Inputs!$B$4*(1-Inputs!$B$5)))*12)/12,(Inputs!$B$4*(1-Inputs!$B$5))),2))</f>
        <v>246510.1</v>
      </c>
      <c r="G320" s="34" t="n">
        <f aca="false">IF(15&gt;=Inputs!$B$7,0,ROUND(-FV(G$268/12,15*12,-(-PMT(G$268/12,Inputs!$B$7*12,(Inputs!$B$4*(1-Inputs!$B$5)))*12)/12,(Inputs!$B$4*(1-Inputs!$B$5))),2))</f>
        <v>249081.02</v>
      </c>
      <c r="H320" s="34" t="n">
        <f aca="false">IF(15&gt;=Inputs!$B$7,0,ROUND(-FV(H$268/12,15*12,-(-PMT(H$268/12,Inputs!$B$7*12,(Inputs!$B$4*(1-Inputs!$B$5)))*12)/12,(Inputs!$B$4*(1-Inputs!$B$5))),2))</f>
        <v>254091.96</v>
      </c>
      <c r="I320" s="34" t="n">
        <f aca="false">IF(15&gt;=Inputs!$B$7,0,ROUND(-FV(I$268/12,15*12,-(-PMT(I$268/12,Inputs!$B$7*12,(Inputs!$B$4*(1-Inputs!$B$5)))*12)/12,(Inputs!$B$4*(1-Inputs!$B$5))),2))</f>
        <v>258924.66</v>
      </c>
    </row>
    <row r="321" customFormat="false" ht="15" hidden="true" customHeight="true" outlineLevel="0" collapsed="false">
      <c r="B321" s="34" t="n">
        <f aca="false">IF(16&gt;=Inputs!$B$7,0,ROUND(-FV(B$268/12,16*12,-(-PMT(B$268/12,Inputs!$B$7*12,(Inputs!$B$4*(1-Inputs!$B$5)))*12)/12,(Inputs!$B$4*(1-Inputs!$B$5))),2))</f>
        <v>216505.06</v>
      </c>
      <c r="C321" s="34" t="n">
        <f aca="false">IF(16&gt;=Inputs!$B$7,0,ROUND(-FV(C$268/12,16*12,-(-PMT(C$268/12,Inputs!$B$7*12,(Inputs!$B$4*(1-Inputs!$B$5)))*12)/12,(Inputs!$B$4*(1-Inputs!$B$5))),2))</f>
        <v>222326.74</v>
      </c>
      <c r="D321" s="34" t="n">
        <f aca="false">IF(16&gt;=Inputs!$B$7,0,ROUND(-FV(D$268/12,16*12,-(-PMT(D$268/12,Inputs!$B$7*12,(Inputs!$B$4*(1-Inputs!$B$5)))*12)/12,(Inputs!$B$4*(1-Inputs!$B$5))),2))</f>
        <v>228012.1</v>
      </c>
      <c r="E321" s="34" t="n">
        <f aca="false">IF(16&gt;=Inputs!$B$7,0,ROUND(-FV(E$268/12,16*12,-(-PMT(E$268/12,Inputs!$B$7*12,(Inputs!$B$4*(1-Inputs!$B$5)))*12)/12,(Inputs!$B$4*(1-Inputs!$B$5))),2))</f>
        <v>233551.2</v>
      </c>
      <c r="F321" s="34" t="n">
        <f aca="false">IF(16&gt;=Inputs!$B$7,0,ROUND(-FV(F$268/12,16*12,-(-PMT(F$268/12,Inputs!$B$7*12,(Inputs!$B$4*(1-Inputs!$B$5)))*12)/12,(Inputs!$B$4*(1-Inputs!$B$5))),2))</f>
        <v>236263.15</v>
      </c>
      <c r="G321" s="34" t="n">
        <f aca="false">IF(16&gt;=Inputs!$B$7,0,ROUND(-FV(G$268/12,16*12,-(-PMT(G$268/12,Inputs!$B$7*12,(Inputs!$B$4*(1-Inputs!$B$5)))*12)/12,(Inputs!$B$4*(1-Inputs!$B$5))),2))</f>
        <v>238935.41</v>
      </c>
      <c r="H321" s="34" t="n">
        <f aca="false">IF(16&gt;=Inputs!$B$7,0,ROUND(-FV(H$268/12,16*12,-(-PMT(H$268/12,Inputs!$B$7*12,(Inputs!$B$4*(1-Inputs!$B$5)))*12)/12,(Inputs!$B$4*(1-Inputs!$B$5))),2))</f>
        <v>244157.48</v>
      </c>
      <c r="I321" s="34" t="n">
        <f aca="false">IF(16&gt;=Inputs!$B$7,0,ROUND(-FV(I$268/12,16*12,-(-PMT(I$268/12,Inputs!$B$7*12,(Inputs!$B$4*(1-Inputs!$B$5)))*12)/12,(Inputs!$B$4*(1-Inputs!$B$5))),2))</f>
        <v>249211.46</v>
      </c>
    </row>
    <row r="322" customFormat="false" ht="15" hidden="true" customHeight="true" outlineLevel="0" collapsed="false">
      <c r="B322" s="34" t="n">
        <f aca="false">IF(17&gt;=Inputs!$B$7,0,ROUND(-FV(B$268/12,17*12,-(-PMT(B$268/12,Inputs!$B$7*12,(Inputs!$B$4*(1-Inputs!$B$5)))*12)/12,(Inputs!$B$4*(1-Inputs!$B$5))),2))</f>
        <v>205143.15</v>
      </c>
      <c r="C322" s="34" t="n">
        <f aca="false">IF(17&gt;=Inputs!$B$7,0,ROUND(-FV(C$268/12,17*12,-(-PMT(C$268/12,Inputs!$B$7*12,(Inputs!$B$4*(1-Inputs!$B$5)))*12)/12,(Inputs!$B$4*(1-Inputs!$B$5))),2))</f>
        <v>211073.91</v>
      </c>
      <c r="D322" s="34" t="n">
        <f aca="false">IF(17&gt;=Inputs!$B$7,0,ROUND(-FV(D$268/12,17*12,-(-PMT(D$268/12,Inputs!$B$7*12,(Inputs!$B$4*(1-Inputs!$B$5)))*12)/12,(Inputs!$B$4*(1-Inputs!$B$5))),2))</f>
        <v>216885.8</v>
      </c>
      <c r="E322" s="34" t="n">
        <f aca="false">IF(17&gt;=Inputs!$B$7,0,ROUND(-FV(E$268/12,17*12,-(-PMT(E$268/12,Inputs!$B$7*12,(Inputs!$B$4*(1-Inputs!$B$5)))*12)/12,(Inputs!$B$4*(1-Inputs!$B$5))),2))</f>
        <v>222567.85</v>
      </c>
      <c r="F322" s="34" t="n">
        <f aca="false">IF(17&gt;=Inputs!$B$7,0,ROUND(-FV(F$268/12,17*12,-(-PMT(F$268/12,Inputs!$B$7*12,(Inputs!$B$4*(1-Inputs!$B$5)))*12)/12,(Inputs!$B$4*(1-Inputs!$B$5))),2))</f>
        <v>225357.09</v>
      </c>
      <c r="G322" s="34" t="n">
        <f aca="false">IF(17&gt;=Inputs!$B$7,0,ROUND(-FV(G$268/12,17*12,-(-PMT(G$268/12,Inputs!$B$7*12,(Inputs!$B$4*(1-Inputs!$B$5)))*12)/12,(Inputs!$B$4*(1-Inputs!$B$5))),2))</f>
        <v>228110.33</v>
      </c>
      <c r="H322" s="34" t="n">
        <f aca="false">IF(17&gt;=Inputs!$B$7,0,ROUND(-FV(H$268/12,17*12,-(-PMT(H$268/12,Inputs!$B$7*12,(Inputs!$B$4*(1-Inputs!$B$5)))*12)/12,(Inputs!$B$4*(1-Inputs!$B$5))),2))</f>
        <v>233504.83</v>
      </c>
      <c r="I322" s="34" t="n">
        <f aca="false">IF(17&gt;=Inputs!$B$7,0,ROUND(-FV(I$268/12,17*12,-(-PMT(I$268/12,Inputs!$B$7*12,(Inputs!$B$4*(1-Inputs!$B$5)))*12)/12,(Inputs!$B$4*(1-Inputs!$B$5))),2))</f>
        <v>238744.2</v>
      </c>
    </row>
    <row r="323" customFormat="false" ht="15" hidden="true" customHeight="true" outlineLevel="0" collapsed="false">
      <c r="B323" s="34" t="n">
        <f aca="false">IF(18&gt;=Inputs!$B$7,0,ROUND(-FV(B$268/12,18*12,-(-PMT(B$268/12,Inputs!$B$7*12,(Inputs!$B$4*(1-Inputs!$B$5)))*12)/12,(Inputs!$B$4*(1-Inputs!$B$5))),2))</f>
        <v>193259.28</v>
      </c>
      <c r="C323" s="34" t="n">
        <f aca="false">IF(18&gt;=Inputs!$B$7,0,ROUND(-FV(C$268/12,18*12,-(-PMT(C$268/12,Inputs!$B$7*12,(Inputs!$B$4*(1-Inputs!$B$5)))*12)/12,(Inputs!$B$4*(1-Inputs!$B$5))),2))</f>
        <v>199245.36</v>
      </c>
      <c r="D323" s="34" t="n">
        <f aca="false">IF(18&gt;=Inputs!$B$7,0,ROUND(-FV(D$268/12,18*12,-(-PMT(D$268/12,Inputs!$B$7*12,(Inputs!$B$4*(1-Inputs!$B$5)))*12)/12,(Inputs!$B$4*(1-Inputs!$B$5))),2))</f>
        <v>205131.89</v>
      </c>
      <c r="E323" s="34" t="n">
        <f aca="false">IF(18&gt;=Inputs!$B$7,0,ROUND(-FV(E$268/12,18*12,-(-PMT(E$268/12,Inputs!$B$7*12,(Inputs!$B$4*(1-Inputs!$B$5)))*12)/12,(Inputs!$B$4*(1-Inputs!$B$5))),2))</f>
        <v>210907.06</v>
      </c>
      <c r="F323" s="34" t="n">
        <f aca="false">IF(18&gt;=Inputs!$B$7,0,ROUND(-FV(F$268/12,18*12,-(-PMT(F$268/12,Inputs!$B$7*12,(Inputs!$B$4*(1-Inputs!$B$5)))*12)/12,(Inputs!$B$4*(1-Inputs!$B$5))),2))</f>
        <v>213749.54</v>
      </c>
      <c r="G323" s="34" t="n">
        <f aca="false">IF(18&gt;=Inputs!$B$7,0,ROUND(-FV(G$268/12,18*12,-(-PMT(G$268/12,Inputs!$B$7*12,(Inputs!$B$4*(1-Inputs!$B$5)))*12)/12,(Inputs!$B$4*(1-Inputs!$B$5))),2))</f>
        <v>216560.28</v>
      </c>
      <c r="H323" s="34" t="n">
        <f aca="false">IF(18&gt;=Inputs!$B$7,0,ROUND(-FV(H$268/12,18*12,-(-PMT(H$268/12,Inputs!$B$7*12,(Inputs!$B$4*(1-Inputs!$B$5)))*12)/12,(Inputs!$B$4*(1-Inputs!$B$5))),2))</f>
        <v>222082.11</v>
      </c>
      <c r="I323" s="34" t="n">
        <f aca="false">IF(18&gt;=Inputs!$B$7,0,ROUND(-FV(I$268/12,18*12,-(-PMT(I$268/12,Inputs!$B$7*12,(Inputs!$B$4*(1-Inputs!$B$5)))*12)/12,(Inputs!$B$4*(1-Inputs!$B$5))),2))</f>
        <v>227464.34</v>
      </c>
    </row>
    <row r="324" customFormat="false" ht="15" hidden="true" customHeight="true" outlineLevel="0" collapsed="false">
      <c r="B324" s="34" t="n">
        <f aca="false">IF(19&gt;=Inputs!$B$7,0,ROUND(-FV(B$268/12,19*12,-(-PMT(B$268/12,Inputs!$B$7*12,(Inputs!$B$4*(1-Inputs!$B$5)))*12)/12,(Inputs!$B$4*(1-Inputs!$B$5))),2))</f>
        <v>180829.47</v>
      </c>
      <c r="C324" s="34" t="n">
        <f aca="false">IF(19&gt;=Inputs!$B$7,0,ROUND(-FV(C$268/12,19*12,-(-PMT(C$268/12,Inputs!$B$7*12,(Inputs!$B$4*(1-Inputs!$B$5)))*12)/12,(Inputs!$B$4*(1-Inputs!$B$5))),2))</f>
        <v>186811.64</v>
      </c>
      <c r="D324" s="34" t="n">
        <f aca="false">IF(19&gt;=Inputs!$B$7,0,ROUND(-FV(D$268/12,19*12,-(-PMT(D$268/12,Inputs!$B$7*12,(Inputs!$B$4*(1-Inputs!$B$5)))*12)/12,(Inputs!$B$4*(1-Inputs!$B$5))),2))</f>
        <v>192714.96</v>
      </c>
      <c r="E324" s="34" t="n">
        <f aca="false">IF(19&gt;=Inputs!$B$7,0,ROUND(-FV(E$268/12,19*12,-(-PMT(E$268/12,Inputs!$B$7*12,(Inputs!$B$4*(1-Inputs!$B$5)))*12)/12,(Inputs!$B$4*(1-Inputs!$B$5))),2))</f>
        <v>198527.07</v>
      </c>
      <c r="F324" s="34" t="n">
        <f aca="false">IF(19&gt;=Inputs!$B$7,0,ROUND(-FV(F$268/12,19*12,-(-PMT(F$268/12,Inputs!$B$7*12,(Inputs!$B$4*(1-Inputs!$B$5)))*12)/12,(Inputs!$B$4*(1-Inputs!$B$5))),2))</f>
        <v>201395.36</v>
      </c>
      <c r="G324" s="34" t="n">
        <f aca="false">IF(19&gt;=Inputs!$B$7,0,ROUND(-FV(G$268/12,19*12,-(-PMT(G$268/12,Inputs!$B$7*12,(Inputs!$B$4*(1-Inputs!$B$5)))*12)/12,(Inputs!$B$4*(1-Inputs!$B$5))),2))</f>
        <v>204236.7</v>
      </c>
      <c r="H324" s="34" t="n">
        <f aca="false">IF(19&gt;=Inputs!$B$7,0,ROUND(-FV(H$268/12,19*12,-(-PMT(H$268/12,Inputs!$B$7*12,(Inputs!$B$4*(1-Inputs!$B$5)))*12)/12,(Inputs!$B$4*(1-Inputs!$B$5))),2))</f>
        <v>209833.63</v>
      </c>
      <c r="I324" s="34" t="n">
        <f aca="false">IF(19&gt;=Inputs!$B$7,0,ROUND(-FV(I$268/12,19*12,-(-PMT(I$268/12,Inputs!$B$7*12,(Inputs!$B$4*(1-Inputs!$B$5)))*12)/12,(Inputs!$B$4*(1-Inputs!$B$5))),2))</f>
        <v>215308.8</v>
      </c>
    </row>
    <row r="325" customFormat="false" ht="15" hidden="true" customHeight="true" outlineLevel="0" collapsed="false">
      <c r="B325" s="34" t="n">
        <f aca="false">IF(20&gt;=Inputs!$B$7,0,ROUND(-FV(B$268/12,20*12,-(-PMT(B$268/12,Inputs!$B$7*12,(Inputs!$B$4*(1-Inputs!$B$5)))*12)/12,(Inputs!$B$4*(1-Inputs!$B$5))),2))</f>
        <v>167828.64</v>
      </c>
      <c r="C325" s="34" t="n">
        <f aca="false">IF(20&gt;=Inputs!$B$7,0,ROUND(-FV(C$268/12,20*12,-(-PMT(C$268/12,Inputs!$B$7*12,(Inputs!$B$4*(1-Inputs!$B$5)))*12)/12,(Inputs!$B$4*(1-Inputs!$B$5))),2))</f>
        <v>173741.79</v>
      </c>
      <c r="D325" s="34" t="n">
        <f aca="false">IF(20&gt;=Inputs!$B$7,0,ROUND(-FV(D$268/12,20*12,-(-PMT(D$268/12,Inputs!$B$7*12,(Inputs!$B$4*(1-Inputs!$B$5)))*12)/12,(Inputs!$B$4*(1-Inputs!$B$5))),2))</f>
        <v>179597.62</v>
      </c>
      <c r="E325" s="34" t="n">
        <f aca="false">IF(20&gt;=Inputs!$B$7,0,ROUND(-FV(E$268/12,20*12,-(-PMT(E$268/12,Inputs!$B$7*12,(Inputs!$B$4*(1-Inputs!$B$5)))*12)/12,(Inputs!$B$4*(1-Inputs!$B$5))),2))</f>
        <v>185383.51</v>
      </c>
      <c r="F325" s="34" t="n">
        <f aca="false">IF(20&gt;=Inputs!$B$7,0,ROUND(-FV(F$268/12,20*12,-(-PMT(F$268/12,Inputs!$B$7*12,(Inputs!$B$4*(1-Inputs!$B$5)))*12)/12,(Inputs!$B$4*(1-Inputs!$B$5))),2))</f>
        <v>188246.54</v>
      </c>
      <c r="G325" s="34" t="n">
        <f aca="false">IF(20&gt;=Inputs!$B$7,0,ROUND(-FV(G$268/12,20*12,-(-PMT(G$268/12,Inputs!$B$7*12,(Inputs!$B$4*(1-Inputs!$B$5)))*12)/12,(Inputs!$B$4*(1-Inputs!$B$5))),2))</f>
        <v>191087.78</v>
      </c>
      <c r="H325" s="34" t="n">
        <f aca="false">IF(20&gt;=Inputs!$B$7,0,ROUND(-FV(H$268/12,20*12,-(-PMT(H$268/12,Inputs!$B$7*12,(Inputs!$B$4*(1-Inputs!$B$5)))*12)/12,(Inputs!$B$4*(1-Inputs!$B$5))),2))</f>
        <v>196699.71</v>
      </c>
      <c r="I325" s="34" t="n">
        <f aca="false">IF(20&gt;=Inputs!$B$7,0,ROUND(-FV(I$268/12,20*12,-(-PMT(I$268/12,Inputs!$B$7*12,(Inputs!$B$4*(1-Inputs!$B$5)))*12)/12,(Inputs!$B$4*(1-Inputs!$B$5))),2))</f>
        <v>202209.59</v>
      </c>
    </row>
    <row r="326" customFormat="false" ht="15" hidden="true" customHeight="true" outlineLevel="0" collapsed="false">
      <c r="B326" s="34" t="n">
        <f aca="false">IF(21&gt;=Inputs!$B$7,0,ROUND(-FV(B$268/12,21*12,-(-PMT(B$268/12,Inputs!$B$7*12,(Inputs!$B$4*(1-Inputs!$B$5)))*12)/12,(Inputs!$B$4*(1-Inputs!$B$5))),2))</f>
        <v>154230.55</v>
      </c>
      <c r="C326" s="34" t="n">
        <f aca="false">IF(21&gt;=Inputs!$B$7,0,ROUND(-FV(C$268/12,21*12,-(-PMT(C$268/12,Inputs!$B$7*12,(Inputs!$B$4*(1-Inputs!$B$5)))*12)/12,(Inputs!$B$4*(1-Inputs!$B$5))),2))</f>
        <v>160003.26</v>
      </c>
      <c r="D326" s="34" t="n">
        <f aca="false">IF(21&gt;=Inputs!$B$7,0,ROUND(-FV(D$268/12,21*12,-(-PMT(D$268/12,Inputs!$B$7*12,(Inputs!$B$4*(1-Inputs!$B$5)))*12)/12,(Inputs!$B$4*(1-Inputs!$B$5))),2))</f>
        <v>165740.35</v>
      </c>
      <c r="E326" s="34" t="n">
        <f aca="false">IF(21&gt;=Inputs!$B$7,0,ROUND(-FV(E$268/12,21*12,-(-PMT(E$268/12,Inputs!$B$7*12,(Inputs!$B$4*(1-Inputs!$B$5)))*12)/12,(Inputs!$B$4*(1-Inputs!$B$5))),2))</f>
        <v>171429.28</v>
      </c>
      <c r="F326" s="34" t="n">
        <f aca="false">IF(21&gt;=Inputs!$B$7,0,ROUND(-FV(F$268/12,21*12,-(-PMT(F$268/12,Inputs!$B$7*12,(Inputs!$B$4*(1-Inputs!$B$5)))*12)/12,(Inputs!$B$4*(1-Inputs!$B$5))),2))</f>
        <v>174251.97</v>
      </c>
      <c r="G326" s="34" t="n">
        <f aca="false">IF(21&gt;=Inputs!$B$7,0,ROUND(-FV(G$268/12,21*12,-(-PMT(G$268/12,Inputs!$B$7*12,(Inputs!$B$4*(1-Inputs!$B$5)))*12)/12,(Inputs!$B$4*(1-Inputs!$B$5))),2))</f>
        <v>177058.26</v>
      </c>
      <c r="H326" s="34" t="n">
        <f aca="false">IF(21&gt;=Inputs!$B$7,0,ROUND(-FV(H$268/12,21*12,-(-PMT(H$268/12,Inputs!$B$7*12,(Inputs!$B$4*(1-Inputs!$B$5)))*12)/12,(Inputs!$B$4*(1-Inputs!$B$5))),2))</f>
        <v>182616.34</v>
      </c>
      <c r="I326" s="34" t="n">
        <f aca="false">IF(21&gt;=Inputs!$B$7,0,ROUND(-FV(I$268/12,21*12,-(-PMT(I$268/12,Inputs!$B$7*12,(Inputs!$B$4*(1-Inputs!$B$5)))*12)/12,(Inputs!$B$4*(1-Inputs!$B$5))),2))</f>
        <v>188093.45</v>
      </c>
    </row>
    <row r="327" customFormat="false" ht="15" hidden="true" customHeight="true" outlineLevel="0" collapsed="false">
      <c r="B327" s="34" t="n">
        <f aca="false">IF(22&gt;=Inputs!$B$7,0,ROUND(-FV(B$268/12,22*12,-(-PMT(B$268/12,Inputs!$B$7*12,(Inputs!$B$4*(1-Inputs!$B$5)))*12)/12,(Inputs!$B$4*(1-Inputs!$B$5))),2))</f>
        <v>140007.77</v>
      </c>
      <c r="C327" s="34" t="n">
        <f aca="false">IF(22&gt;=Inputs!$B$7,0,ROUND(-FV(C$268/12,22*12,-(-PMT(C$268/12,Inputs!$B$7*12,(Inputs!$B$4*(1-Inputs!$B$5)))*12)/12,(Inputs!$B$4*(1-Inputs!$B$5))),2))</f>
        <v>145561.84</v>
      </c>
      <c r="D327" s="34" t="n">
        <f aca="false">IF(22&gt;=Inputs!$B$7,0,ROUND(-FV(D$268/12,22*12,-(-PMT(D$268/12,Inputs!$B$7*12,(Inputs!$B$4*(1-Inputs!$B$5)))*12)/12,(Inputs!$B$4*(1-Inputs!$B$5))),2))</f>
        <v>151101.43</v>
      </c>
      <c r="E327" s="34" t="n">
        <f aca="false">IF(22&gt;=Inputs!$B$7,0,ROUND(-FV(E$268/12,22*12,-(-PMT(E$268/12,Inputs!$B$7*12,(Inputs!$B$4*(1-Inputs!$B$5)))*12)/12,(Inputs!$B$4*(1-Inputs!$B$5))),2))</f>
        <v>156614.39</v>
      </c>
      <c r="F327" s="34" t="n">
        <f aca="false">IF(22&gt;=Inputs!$B$7,0,ROUND(-FV(F$268/12,22*12,-(-PMT(F$268/12,Inputs!$B$7*12,(Inputs!$B$4*(1-Inputs!$B$5)))*12)/12,(Inputs!$B$4*(1-Inputs!$B$5))),2))</f>
        <v>159357.24</v>
      </c>
      <c r="G327" s="34" t="n">
        <f aca="false">IF(22&gt;=Inputs!$B$7,0,ROUND(-FV(G$268/12,22*12,-(-PMT(G$268/12,Inputs!$B$7*12,(Inputs!$B$4*(1-Inputs!$B$5)))*12)/12,(Inputs!$B$4*(1-Inputs!$B$5))),2))</f>
        <v>162089.15</v>
      </c>
      <c r="H327" s="34" t="n">
        <f aca="false">IF(22&gt;=Inputs!$B$7,0,ROUND(-FV(H$268/12,22*12,-(-PMT(H$268/12,Inputs!$B$7*12,(Inputs!$B$4*(1-Inputs!$B$5)))*12)/12,(Inputs!$B$4*(1-Inputs!$B$5))),2))</f>
        <v>167514.87</v>
      </c>
      <c r="I327" s="34" t="n">
        <f aca="false">IF(22&gt;=Inputs!$B$7,0,ROUND(-FV(I$268/12,22*12,-(-PMT(I$268/12,Inputs!$B$7*12,(Inputs!$B$4*(1-Inputs!$B$5)))*12)/12,(Inputs!$B$4*(1-Inputs!$B$5))),2))</f>
        <v>172881.44</v>
      </c>
    </row>
    <row r="328" customFormat="false" ht="15" hidden="true" customHeight="true" outlineLevel="0" collapsed="false">
      <c r="B328" s="34" t="n">
        <f aca="false">IF(23&gt;=Inputs!$B$7,0,ROUND(-FV(B$268/12,23*12,-(-PMT(B$268/12,Inputs!$B$7*12,(Inputs!$B$4*(1-Inputs!$B$5)))*12)/12,(Inputs!$B$4*(1-Inputs!$B$5))),2))</f>
        <v>125131.59</v>
      </c>
      <c r="C328" s="34" t="n">
        <f aca="false">IF(23&gt;=Inputs!$B$7,0,ROUND(-FV(C$268/12,23*12,-(-PMT(C$268/12,Inputs!$B$7*12,(Inputs!$B$4*(1-Inputs!$B$5)))*12)/12,(Inputs!$B$4*(1-Inputs!$B$5))),2))</f>
        <v>130381.57</v>
      </c>
      <c r="D328" s="34" t="n">
        <f aca="false">IF(23&gt;=Inputs!$B$7,0,ROUND(-FV(D$268/12,23*12,-(-PMT(D$268/12,Inputs!$B$7*12,(Inputs!$B$4*(1-Inputs!$B$5)))*12)/12,(Inputs!$B$4*(1-Inputs!$B$5))),2))</f>
        <v>135636.76</v>
      </c>
      <c r="E328" s="34" t="n">
        <f aca="false">IF(23&gt;=Inputs!$B$7,0,ROUND(-FV(E$268/12,23*12,-(-PMT(E$268/12,Inputs!$B$7*12,(Inputs!$B$4*(1-Inputs!$B$5)))*12)/12,(Inputs!$B$4*(1-Inputs!$B$5))),2))</f>
        <v>140885.74</v>
      </c>
      <c r="F328" s="34" t="n">
        <f aca="false">IF(23&gt;=Inputs!$B$7,0,ROUND(-FV(F$268/12,23*12,-(-PMT(F$268/12,Inputs!$B$7*12,(Inputs!$B$4*(1-Inputs!$B$5)))*12)/12,(Inputs!$B$4*(1-Inputs!$B$5))),2))</f>
        <v>143504.45</v>
      </c>
      <c r="G328" s="34" t="n">
        <f aca="false">IF(23&gt;=Inputs!$B$7,0,ROUND(-FV(G$268/12,23*12,-(-PMT(G$268/12,Inputs!$B$7*12,(Inputs!$B$4*(1-Inputs!$B$5)))*12)/12,(Inputs!$B$4*(1-Inputs!$B$5))),2))</f>
        <v>146117.54</v>
      </c>
      <c r="H328" s="34" t="n">
        <f aca="false">IF(23&gt;=Inputs!$B$7,0,ROUND(-FV(H$268/12,23*12,-(-PMT(H$268/12,Inputs!$B$7*12,(Inputs!$B$4*(1-Inputs!$B$5)))*12)/12,(Inputs!$B$4*(1-Inputs!$B$5))),2))</f>
        <v>151321.73</v>
      </c>
      <c r="I328" s="34" t="n">
        <f aca="false">IF(23&gt;=Inputs!$B$7,0,ROUND(-FV(I$268/12,23*12,-(-PMT(I$268/12,Inputs!$B$7*12,(Inputs!$B$4*(1-Inputs!$B$5)))*12)/12,(Inputs!$B$4*(1-Inputs!$B$5))),2))</f>
        <v>156488.49</v>
      </c>
    </row>
    <row r="329" customFormat="false" ht="15" hidden="true" customHeight="true" outlineLevel="0" collapsed="false">
      <c r="B329" s="34" t="n">
        <f aca="false">IF(24&gt;=Inputs!$B$7,0,ROUND(-FV(B$268/12,24*12,-(-PMT(B$268/12,Inputs!$B$7*12,(Inputs!$B$4*(1-Inputs!$B$5)))*12)/12,(Inputs!$B$4*(1-Inputs!$B$5))),2))</f>
        <v>109572.01</v>
      </c>
      <c r="C329" s="34" t="n">
        <f aca="false">IF(24&gt;=Inputs!$B$7,0,ROUND(-FV(C$268/12,24*12,-(-PMT(C$268/12,Inputs!$B$7*12,(Inputs!$B$4*(1-Inputs!$B$5)))*12)/12,(Inputs!$B$4*(1-Inputs!$B$5))),2))</f>
        <v>114424.65</v>
      </c>
      <c r="D329" s="34" t="n">
        <f aca="false">IF(24&gt;=Inputs!$B$7,0,ROUND(-FV(D$268/12,24*12,-(-PMT(D$268/12,Inputs!$B$7*12,(Inputs!$B$4*(1-Inputs!$B$5)))*12)/12,(Inputs!$B$4*(1-Inputs!$B$5))),2))</f>
        <v>119299.76</v>
      </c>
      <c r="E329" s="34" t="n">
        <f aca="false">IF(24&gt;=Inputs!$B$7,0,ROUND(-FV(E$268/12,24*12,-(-PMT(E$268/12,Inputs!$B$7*12,(Inputs!$B$4*(1-Inputs!$B$5)))*12)/12,(Inputs!$B$4*(1-Inputs!$B$5))),2))</f>
        <v>124186.99</v>
      </c>
      <c r="F329" s="34" t="n">
        <f aca="false">IF(24&gt;=Inputs!$B$7,0,ROUND(-FV(F$268/12,24*12,-(-PMT(F$268/12,Inputs!$B$7*12,(Inputs!$B$4*(1-Inputs!$B$5)))*12)/12,(Inputs!$B$4*(1-Inputs!$B$5))),2))</f>
        <v>126631.99</v>
      </c>
      <c r="G329" s="34" t="n">
        <f aca="false">IF(24&gt;=Inputs!$B$7,0,ROUND(-FV(G$268/12,24*12,-(-PMT(G$268/12,Inputs!$B$7*12,(Inputs!$B$4*(1-Inputs!$B$5)))*12)/12,(Inputs!$B$4*(1-Inputs!$B$5))),2))</f>
        <v>129076.28</v>
      </c>
      <c r="H329" s="34" t="n">
        <f aca="false">IF(24&gt;=Inputs!$B$7,0,ROUND(-FV(H$268/12,24*12,-(-PMT(H$268/12,Inputs!$B$7*12,(Inputs!$B$4*(1-Inputs!$B$5)))*12)/12,(Inputs!$B$4*(1-Inputs!$B$5))),2))</f>
        <v>133957.98</v>
      </c>
      <c r="I329" s="34" t="n">
        <f aca="false">IF(24&gt;=Inputs!$B$7,0,ROUND(-FV(I$268/12,24*12,-(-PMT(I$268/12,Inputs!$B$7*12,(Inputs!$B$4*(1-Inputs!$B$5)))*12)/12,(Inputs!$B$4*(1-Inputs!$B$5))),2))</f>
        <v>138822.9</v>
      </c>
    </row>
    <row r="330" customFormat="false" ht="15" hidden="true" customHeight="true" outlineLevel="0" collapsed="false">
      <c r="B330" s="34" t="n">
        <f aca="false">IF(25&gt;=Inputs!$B$7,0,ROUND(-FV(B$268/12,25*12,-(-PMT(B$268/12,Inputs!$B$7*12,(Inputs!$B$4*(1-Inputs!$B$5)))*12)/12,(Inputs!$B$4*(1-Inputs!$B$5))),2))</f>
        <v>93297.62</v>
      </c>
      <c r="C330" s="34" t="n">
        <f aca="false">IF(25&gt;=Inputs!$B$7,0,ROUND(-FV(C$268/12,25*12,-(-PMT(C$268/12,Inputs!$B$7*12,(Inputs!$B$4*(1-Inputs!$B$5)))*12)/12,(Inputs!$B$4*(1-Inputs!$B$5))),2))</f>
        <v>97651.34</v>
      </c>
      <c r="D330" s="34" t="n">
        <f aca="false">IF(25&gt;=Inputs!$B$7,0,ROUND(-FV(D$268/12,25*12,-(-PMT(D$268/12,Inputs!$B$7*12,(Inputs!$B$4*(1-Inputs!$B$5)))*12)/12,(Inputs!$B$4*(1-Inputs!$B$5))),2))</f>
        <v>102041.23</v>
      </c>
      <c r="E330" s="34" t="n">
        <f aca="false">IF(25&gt;=Inputs!$B$7,0,ROUND(-FV(E$268/12,25*12,-(-PMT(E$268/12,Inputs!$B$7*12,(Inputs!$B$4*(1-Inputs!$B$5)))*12)/12,(Inputs!$B$4*(1-Inputs!$B$5))),2))</f>
        <v>106458.29</v>
      </c>
      <c r="F330" s="34" t="n">
        <f aca="false">IF(25&gt;=Inputs!$B$7,0,ROUND(-FV(F$268/12,25*12,-(-PMT(F$268/12,Inputs!$B$7*12,(Inputs!$B$4*(1-Inputs!$B$5)))*12)/12,(Inputs!$B$4*(1-Inputs!$B$5))),2))</f>
        <v>108674.25</v>
      </c>
      <c r="G330" s="34" t="n">
        <f aca="false">IF(25&gt;=Inputs!$B$7,0,ROUND(-FV(G$268/12,25*12,-(-PMT(G$268/12,Inputs!$B$7*12,(Inputs!$B$4*(1-Inputs!$B$5)))*12)/12,(Inputs!$B$4*(1-Inputs!$B$5))),2))</f>
        <v>110893.73</v>
      </c>
      <c r="H330" s="34" t="n">
        <f aca="false">IF(25&gt;=Inputs!$B$7,0,ROUND(-FV(H$268/12,25*12,-(-PMT(H$268/12,Inputs!$B$7*12,(Inputs!$B$4*(1-Inputs!$B$5)))*12)/12,(Inputs!$B$4*(1-Inputs!$B$5))),2))</f>
        <v>115339</v>
      </c>
      <c r="I330" s="34" t="n">
        <f aca="false">IF(25&gt;=Inputs!$B$7,0,ROUND(-FV(I$268/12,25*12,-(-PMT(I$268/12,Inputs!$B$7*12,(Inputs!$B$4*(1-Inputs!$B$5)))*12)/12,(Inputs!$B$4*(1-Inputs!$B$5))),2))</f>
        <v>119785.89</v>
      </c>
    </row>
    <row r="331" customFormat="false" ht="15" hidden="true" customHeight="true" outlineLevel="0" collapsed="false">
      <c r="B331" s="34" t="n">
        <f aca="false">IF(26&gt;=Inputs!$B$7,0,ROUND(-FV(B$268/12,26*12,-(-PMT(B$268/12,Inputs!$B$7*12,(Inputs!$B$4*(1-Inputs!$B$5)))*12)/12,(Inputs!$B$4*(1-Inputs!$B$5))),2))</f>
        <v>76275.59</v>
      </c>
      <c r="C331" s="34" t="n">
        <f aca="false">IF(26&gt;=Inputs!$B$7,0,ROUND(-FV(C$268/12,26*12,-(-PMT(C$268/12,Inputs!$B$7*12,(Inputs!$B$4*(1-Inputs!$B$5)))*12)/12,(Inputs!$B$4*(1-Inputs!$B$5))),2))</f>
        <v>80019.88</v>
      </c>
      <c r="D331" s="34" t="n">
        <f aca="false">IF(26&gt;=Inputs!$B$7,0,ROUND(-FV(D$268/12,26*12,-(-PMT(D$268/12,Inputs!$B$7*12,(Inputs!$B$4*(1-Inputs!$B$5)))*12)/12,(Inputs!$B$4*(1-Inputs!$B$5))),2))</f>
        <v>83809.18</v>
      </c>
      <c r="E331" s="34" t="n">
        <f aca="false">IF(26&gt;=Inputs!$B$7,0,ROUND(-FV(E$268/12,26*12,-(-PMT(E$268/12,Inputs!$B$7*12,(Inputs!$B$4*(1-Inputs!$B$5)))*12)/12,(Inputs!$B$4*(1-Inputs!$B$5))),2))</f>
        <v>87636.13</v>
      </c>
      <c r="F331" s="34" t="n">
        <f aca="false">IF(26&gt;=Inputs!$B$7,0,ROUND(-FV(F$268/12,26*12,-(-PMT(F$268/12,Inputs!$B$7*12,(Inputs!$B$4*(1-Inputs!$B$5)))*12)/12,(Inputs!$B$4*(1-Inputs!$B$5))),2))</f>
        <v>89561.45</v>
      </c>
      <c r="G331" s="34" t="n">
        <f aca="false">IF(26&gt;=Inputs!$B$7,0,ROUND(-FV(G$268/12,26*12,-(-PMT(G$268/12,Inputs!$B$7*12,(Inputs!$B$4*(1-Inputs!$B$5)))*12)/12,(Inputs!$B$4*(1-Inputs!$B$5))),2))</f>
        <v>91493.46</v>
      </c>
      <c r="H331" s="34" t="n">
        <f aca="false">IF(26&gt;=Inputs!$B$7,0,ROUND(-FV(H$268/12,26*12,-(-PMT(H$268/12,Inputs!$B$7*12,(Inputs!$B$4*(1-Inputs!$B$5)))*12)/12,(Inputs!$B$4*(1-Inputs!$B$5))),2))</f>
        <v>95374.05</v>
      </c>
      <c r="I331" s="34" t="n">
        <f aca="false">IF(26&gt;=Inputs!$B$7,0,ROUND(-FV(I$268/12,26*12,-(-PMT(I$268/12,Inputs!$B$7*12,(Inputs!$B$4*(1-Inputs!$B$5)))*12)/12,(Inputs!$B$4*(1-Inputs!$B$5))),2))</f>
        <v>99270.99</v>
      </c>
    </row>
    <row r="332" customFormat="false" ht="15" hidden="true" customHeight="true" outlineLevel="0" collapsed="false">
      <c r="B332" s="34" t="n">
        <f aca="false">IF(27&gt;=Inputs!$B$7,0,ROUND(-FV(B$268/12,27*12,-(-PMT(B$268/12,Inputs!$B$7*12,(Inputs!$B$4*(1-Inputs!$B$5)))*12)/12,(Inputs!$B$4*(1-Inputs!$B$5))),2))</f>
        <v>58471.57</v>
      </c>
      <c r="C332" s="34" t="n">
        <f aca="false">IF(27&gt;=Inputs!$B$7,0,ROUND(-FV(C$268/12,27*12,-(-PMT(C$268/12,Inputs!$B$7*12,(Inputs!$B$4*(1-Inputs!$B$5)))*12)/12,(Inputs!$B$4*(1-Inputs!$B$5))),2))</f>
        <v>61486.36</v>
      </c>
      <c r="D332" s="34" t="n">
        <f aca="false">IF(27&gt;=Inputs!$B$7,0,ROUND(-FV(D$268/12,27*12,-(-PMT(D$268/12,Inputs!$B$7*12,(Inputs!$B$4*(1-Inputs!$B$5)))*12)/12,(Inputs!$B$4*(1-Inputs!$B$5))),2))</f>
        <v>64548.7</v>
      </c>
      <c r="E332" s="34" t="n">
        <f aca="false">IF(27&gt;=Inputs!$B$7,0,ROUND(-FV(E$268/12,27*12,-(-PMT(E$268/12,Inputs!$B$7*12,(Inputs!$B$4*(1-Inputs!$B$5)))*12)/12,(Inputs!$B$4*(1-Inputs!$B$5))),2))</f>
        <v>67653.06</v>
      </c>
      <c r="F332" s="34" t="n">
        <f aca="false">IF(27&gt;=Inputs!$B$7,0,ROUND(-FV(F$268/12,27*12,-(-PMT(F$268/12,Inputs!$B$7*12,(Inputs!$B$4*(1-Inputs!$B$5)))*12)/12,(Inputs!$B$4*(1-Inputs!$B$5))),2))</f>
        <v>69219.27</v>
      </c>
      <c r="G332" s="34" t="n">
        <f aca="false">IF(27&gt;=Inputs!$B$7,0,ROUND(-FV(G$268/12,27*12,-(-PMT(G$268/12,Inputs!$B$7*12,(Inputs!$B$4*(1-Inputs!$B$5)))*12)/12,(Inputs!$B$4*(1-Inputs!$B$5))),2))</f>
        <v>70793.92</v>
      </c>
      <c r="H332" s="34" t="n">
        <f aca="false">IF(27&gt;=Inputs!$B$7,0,ROUND(-FV(H$268/12,27*12,-(-PMT(H$268/12,Inputs!$B$7*12,(Inputs!$B$4*(1-Inputs!$B$5)))*12)/12,(Inputs!$B$4*(1-Inputs!$B$5))),2))</f>
        <v>73965.84</v>
      </c>
      <c r="I332" s="34" t="n">
        <f aca="false">IF(27&gt;=Inputs!$B$7,0,ROUND(-FV(I$268/12,27*12,-(-PMT(I$268/12,Inputs!$B$7*12,(Inputs!$B$4*(1-Inputs!$B$5)))*12)/12,(Inputs!$B$4*(1-Inputs!$B$5))),2))</f>
        <v>77163.46</v>
      </c>
    </row>
    <row r="333" customFormat="false" ht="15" hidden="true" customHeight="true" outlineLevel="0" collapsed="false">
      <c r="B333" s="34" t="n">
        <f aca="false">IF(28&gt;=Inputs!$B$7,0,ROUND(-FV(B$268/12,28*12,-(-PMT(B$268/12,Inputs!$B$7*12,(Inputs!$B$4*(1-Inputs!$B$5)))*12)/12,(Inputs!$B$4*(1-Inputs!$B$5))),2))</f>
        <v>39849.63</v>
      </c>
      <c r="C333" s="34" t="n">
        <f aca="false">IF(28&gt;=Inputs!$B$7,0,ROUND(-FV(C$268/12,28*12,-(-PMT(C$268/12,Inputs!$B$7*12,(Inputs!$B$4*(1-Inputs!$B$5)))*12)/12,(Inputs!$B$4*(1-Inputs!$B$5))),2))</f>
        <v>42004.62</v>
      </c>
      <c r="D333" s="34" t="n">
        <f aca="false">IF(28&gt;=Inputs!$B$7,0,ROUND(-FV(D$268/12,28*12,-(-PMT(D$268/12,Inputs!$B$7*12,(Inputs!$B$4*(1-Inputs!$B$5)))*12)/12,(Inputs!$B$4*(1-Inputs!$B$5))),2))</f>
        <v>44201.77</v>
      </c>
      <c r="E333" s="34" t="n">
        <f aca="false">IF(28&gt;=Inputs!$B$7,0,ROUND(-FV(E$268/12,28*12,-(-PMT(E$268/12,Inputs!$B$7*12,(Inputs!$B$4*(1-Inputs!$B$5)))*12)/12,(Inputs!$B$4*(1-Inputs!$B$5))),2))</f>
        <v>46437.47</v>
      </c>
      <c r="F333" s="34" t="n">
        <f aca="false">IF(28&gt;=Inputs!$B$7,0,ROUND(-FV(F$268/12,28*12,-(-PMT(F$268/12,Inputs!$B$7*12,(Inputs!$B$4*(1-Inputs!$B$5)))*12)/12,(Inputs!$B$4*(1-Inputs!$B$5))),2))</f>
        <v>47568.64</v>
      </c>
      <c r="G333" s="34" t="n">
        <f aca="false">IF(28&gt;=Inputs!$B$7,0,ROUND(-FV(G$268/12,28*12,-(-PMT(G$268/12,Inputs!$B$7*12,(Inputs!$B$4*(1-Inputs!$B$5)))*12)/12,(Inputs!$B$4*(1-Inputs!$B$5))),2))</f>
        <v>48708.1</v>
      </c>
      <c r="H333" s="34" t="n">
        <f aca="false">IF(28&gt;=Inputs!$B$7,0,ROUND(-FV(H$268/12,28*12,-(-PMT(H$268/12,Inputs!$B$7*12,(Inputs!$B$4*(1-Inputs!$B$5)))*12)/12,(Inputs!$B$4*(1-Inputs!$B$5))),2))</f>
        <v>51010.03</v>
      </c>
      <c r="I333" s="34" t="n">
        <f aca="false">IF(28&gt;=Inputs!$B$7,0,ROUND(-FV(I$268/12,28*12,-(-PMT(I$268/12,Inputs!$B$7*12,(Inputs!$B$4*(1-Inputs!$B$5)))*12)/12,(Inputs!$B$4*(1-Inputs!$B$5))),2))</f>
        <v>53339.67</v>
      </c>
    </row>
    <row r="334" customFormat="false" ht="15" hidden="true" customHeight="true" outlineLevel="0" collapsed="false">
      <c r="B334" s="34" t="n">
        <f aca="false">IF(29&gt;=Inputs!$B$7,0,ROUND(-FV(B$268/12,29*12,-(-PMT(B$268/12,Inputs!$B$7*12,(Inputs!$B$4*(1-Inputs!$B$5)))*12)/12,(Inputs!$B$4*(1-Inputs!$B$5))),2))</f>
        <v>20372.21</v>
      </c>
      <c r="C334" s="34" t="n">
        <f aca="false">IF(29&gt;=Inputs!$B$7,0,ROUND(-FV(C$268/12,29*12,-(-PMT(C$268/12,Inputs!$B$7*12,(Inputs!$B$4*(1-Inputs!$B$5)))*12)/12,(Inputs!$B$4*(1-Inputs!$B$5))),2))</f>
        <v>21526.17</v>
      </c>
      <c r="D334" s="34" t="n">
        <f aca="false">IF(29&gt;=Inputs!$B$7,0,ROUND(-FV(D$268/12,29*12,-(-PMT(D$268/12,Inputs!$B$7*12,(Inputs!$B$4*(1-Inputs!$B$5)))*12)/12,(Inputs!$B$4*(1-Inputs!$B$5))),2))</f>
        <v>22707.12</v>
      </c>
      <c r="E334" s="34" t="n">
        <f aca="false">IF(29&gt;=Inputs!$B$7,0,ROUND(-FV(E$268/12,29*12,-(-PMT(E$268/12,Inputs!$B$7*12,(Inputs!$B$4*(1-Inputs!$B$5)))*12)/12,(Inputs!$B$4*(1-Inputs!$B$5))),2))</f>
        <v>23913.35</v>
      </c>
      <c r="F334" s="34" t="n">
        <f aca="false">IF(29&gt;=Inputs!$B$7,0,ROUND(-FV(F$268/12,29*12,-(-PMT(F$268/12,Inputs!$B$7*12,(Inputs!$B$4*(1-Inputs!$B$5)))*12)/12,(Inputs!$B$4*(1-Inputs!$B$5))),2))</f>
        <v>24525.41</v>
      </c>
      <c r="G334" s="34" t="n">
        <f aca="false">IF(29&gt;=Inputs!$B$7,0,ROUND(-FV(G$268/12,29*12,-(-PMT(G$268/12,Inputs!$B$7*12,(Inputs!$B$4*(1-Inputs!$B$5)))*12)/12,(Inputs!$B$4*(1-Inputs!$B$5))),2))</f>
        <v>25143.14</v>
      </c>
      <c r="H334" s="34" t="n">
        <f aca="false">IF(29&gt;=Inputs!$B$7,0,ROUND(-FV(H$268/12,29*12,-(-PMT(H$268/12,Inputs!$B$7*12,(Inputs!$B$4*(1-Inputs!$B$5)))*12)/12,(Inputs!$B$4*(1-Inputs!$B$5))),2))</f>
        <v>26394.73</v>
      </c>
      <c r="I334" s="34" t="n">
        <f aca="false">IF(29&gt;=Inputs!$B$7,0,ROUND(-FV(I$268/12,29*12,-(-PMT(I$268/12,Inputs!$B$7*12,(Inputs!$B$4*(1-Inputs!$B$5)))*12)/12,(Inputs!$B$4*(1-Inputs!$B$5))),2))</f>
        <v>27666.38</v>
      </c>
    </row>
    <row r="335" customFormat="false" ht="15" hidden="true" customHeight="true" outlineLevel="0" collapsed="false">
      <c r="B335" s="34" t="n">
        <f aca="false">IF(30&gt;=Inputs!$B$7,0,ROUND(-FV(B$268/12,30*12,-(-PMT(B$268/12,Inputs!$B$7*12,(Inputs!$B$4*(1-Inputs!$B$5)))*12)/12,(Inputs!$B$4*(1-Inputs!$B$5))),2))</f>
        <v>0</v>
      </c>
      <c r="C335" s="34" t="n">
        <f aca="false">IF(30&gt;=Inputs!$B$7,0,ROUND(-FV(C$268/12,30*12,-(-PMT(C$268/12,Inputs!$B$7*12,(Inputs!$B$4*(1-Inputs!$B$5)))*12)/12,(Inputs!$B$4*(1-Inputs!$B$5))),2))</f>
        <v>0</v>
      </c>
      <c r="D335" s="34" t="n">
        <f aca="false">IF(30&gt;=Inputs!$B$7,0,ROUND(-FV(D$268/12,30*12,-(-PMT(D$268/12,Inputs!$B$7*12,(Inputs!$B$4*(1-Inputs!$B$5)))*12)/12,(Inputs!$B$4*(1-Inputs!$B$5))),2))</f>
        <v>0</v>
      </c>
      <c r="E335" s="34" t="n">
        <f aca="false">IF(30&gt;=Inputs!$B$7,0,ROUND(-FV(E$268/12,30*12,-(-PMT(E$268/12,Inputs!$B$7*12,(Inputs!$B$4*(1-Inputs!$B$5)))*12)/12,(Inputs!$B$4*(1-Inputs!$B$5))),2))</f>
        <v>0</v>
      </c>
      <c r="F335" s="34" t="n">
        <f aca="false">IF(30&gt;=Inputs!$B$7,0,ROUND(-FV(F$268/12,30*12,-(-PMT(F$268/12,Inputs!$B$7*12,(Inputs!$B$4*(1-Inputs!$B$5)))*12)/12,(Inputs!$B$4*(1-Inputs!$B$5))),2))</f>
        <v>0</v>
      </c>
      <c r="G335" s="34" t="n">
        <f aca="false">IF(30&gt;=Inputs!$B$7,0,ROUND(-FV(G$268/12,30*12,-(-PMT(G$268/12,Inputs!$B$7*12,(Inputs!$B$4*(1-Inputs!$B$5)))*12)/12,(Inputs!$B$4*(1-Inputs!$B$5))),2))</f>
        <v>0</v>
      </c>
      <c r="H335" s="34" t="n">
        <f aca="false">IF(30&gt;=Inputs!$B$7,0,ROUND(-FV(H$268/12,30*12,-(-PMT(H$268/12,Inputs!$B$7*12,(Inputs!$B$4*(1-Inputs!$B$5)))*12)/12,(Inputs!$B$4*(1-Inputs!$B$5))),2))</f>
        <v>0</v>
      </c>
      <c r="I335" s="34" t="n">
        <f aca="false">IF(30&gt;=Inputs!$B$7,0,ROUND(-FV(I$268/12,30*12,-(-PMT(I$268/12,Inputs!$B$7*12,(Inputs!$B$4*(1-Inputs!$B$5)))*12)/12,(Inputs!$B$4*(1-Inputs!$B$5))),2))</f>
        <v>0</v>
      </c>
    </row>
    <row r="336" customFormat="false" ht="15" hidden="true" customHeight="true" outlineLevel="0" collapsed="false"/>
    <row r="337" customFormat="false" ht="15" hidden="true" customHeight="true" outlineLevel="0" collapsed="false">
      <c r="A337" s="33" t="s">
        <v>93</v>
      </c>
      <c r="B337" s="34" t="n">
        <v>0</v>
      </c>
      <c r="C337" s="34" t="n">
        <v>0</v>
      </c>
      <c r="D337" s="34" t="n">
        <v>0</v>
      </c>
      <c r="E337" s="34" t="n">
        <v>0</v>
      </c>
      <c r="F337" s="34" t="n">
        <v>0</v>
      </c>
      <c r="G337" s="34" t="n">
        <v>0</v>
      </c>
      <c r="H337" s="34" t="n">
        <v>0</v>
      </c>
      <c r="I337" s="34" t="n">
        <v>0</v>
      </c>
    </row>
    <row r="338" customFormat="false" ht="15" hidden="true" customHeight="true" outlineLevel="0" collapsed="false">
      <c r="B338" s="34" t="n">
        <f aca="false">IF(1&gt;Inputs!$B$7,0,(-PMT(B$268/12,Inputs!$B$7*12,(Inputs!$B$4*(1-Inputs!$B$5)))*12))+B273*Inputs!$B$9+Inputs!$B$10*(1+Inputs!$B$15)^0+Inputs!$B$11*12*(1+Inputs!$B$15)^0+B273*Inputs!$B$12</f>
        <v>32083.2919788434</v>
      </c>
      <c r="C338" s="34" t="n">
        <f aca="false">IF(1&gt;Inputs!$B$7,0,(-PMT(C$268/12,Inputs!$B$7*12,(Inputs!$B$4*(1-Inputs!$B$5)))*12))+C273*Inputs!$B$9+Inputs!$B$10*(1+Inputs!$B$15)^0+Inputs!$B$11*12*(1+Inputs!$B$15)^0+C273*Inputs!$B$12</f>
        <v>33324.7152097129</v>
      </c>
      <c r="D338" s="34" t="n">
        <f aca="false">IF(1&gt;Inputs!$B$7,0,(-PMT(D$268/12,Inputs!$B$7*12,(Inputs!$B$4*(1-Inputs!$B$5)))*12))+D273*Inputs!$B$9+Inputs!$B$10*(1+Inputs!$B$15)^0+Inputs!$B$11*12*(1+Inputs!$B$15)^0+D273*Inputs!$B$12</f>
        <v>34600.3730058879</v>
      </c>
      <c r="E338" s="34" t="n">
        <f aca="false">IF(1&gt;Inputs!$B$7,0,(-PMT(E$268/12,Inputs!$B$7*12,(Inputs!$B$4*(1-Inputs!$B$5)))*12))+E273*Inputs!$B$9+Inputs!$B$10*(1+Inputs!$B$15)^0+Inputs!$B$11*12*(1+Inputs!$B$15)^0+E273*Inputs!$B$12</f>
        <v>35908.7445129324</v>
      </c>
      <c r="F338" s="34" t="n">
        <f aca="false">IF(1&gt;Inputs!$B$7,0,(-PMT(F$268/12,Inputs!$B$7*12,(Inputs!$B$4*(1-Inputs!$B$5)))*12))+F273*Inputs!$B$9+Inputs!$B$10*(1+Inputs!$B$15)^0+Inputs!$B$11*12*(1+Inputs!$B$15)^0+F273*Inputs!$B$12</f>
        <v>36574.7080674846</v>
      </c>
      <c r="G338" s="34" t="n">
        <f aca="false">IF(1&gt;Inputs!$B$7,0,(-PMT(G$268/12,Inputs!$B$7*12,(Inputs!$B$4*(1-Inputs!$B$5)))*12))+G273*Inputs!$B$9+Inputs!$B$10*(1+Inputs!$B$15)^0+Inputs!$B$11*12*(1+Inputs!$B$15)^0+G273*Inputs!$B$12</f>
        <v>37248.2573325598</v>
      </c>
      <c r="H338" s="34" t="n">
        <f aca="false">IF(1&gt;Inputs!$B$7,0,(-PMT(H$268/12,Inputs!$B$7*12,(Inputs!$B$4*(1-Inputs!$B$5)))*12))+H273*Inputs!$B$9+Inputs!$B$10*(1+Inputs!$B$15)^0+Inputs!$B$11*12*(1+Inputs!$B$15)^0+H273*Inputs!$B$12</f>
        <v>38617.3048654132</v>
      </c>
      <c r="I338" s="34" t="n">
        <f aca="false">IF(1&gt;Inputs!$B$7,0,(-PMT(I$268/12,Inputs!$B$7*12,(Inputs!$B$4*(1-Inputs!$B$5)))*12))+I273*Inputs!$B$9+Inputs!$B$10*(1+Inputs!$B$15)^0+Inputs!$B$11*12*(1+Inputs!$B$15)^0+I273*Inputs!$B$12</f>
        <v>40014.2627795198</v>
      </c>
    </row>
    <row r="339" customFormat="false" ht="15" hidden="true" customHeight="true" outlineLevel="0" collapsed="false">
      <c r="B339" s="34" t="n">
        <f aca="false">IF(2&gt;Inputs!$B$7,0,(-PMT(B$268/12,Inputs!$B$7*12,(Inputs!$B$4*(1-Inputs!$B$5)))*12))+B274*Inputs!$B$9+Inputs!$B$10*(1+Inputs!$B$15)^1+Inputs!$B$11*12*(1+Inputs!$B$15)^1+B274*Inputs!$B$12</f>
        <v>32419.6249788434</v>
      </c>
      <c r="C339" s="34" t="n">
        <f aca="false">IF(2&gt;Inputs!$B$7,0,(-PMT(C$268/12,Inputs!$B$7*12,(Inputs!$B$4*(1-Inputs!$B$5)))*12))+C274*Inputs!$B$9+Inputs!$B$10*(1+Inputs!$B$15)^1+Inputs!$B$11*12*(1+Inputs!$B$15)^1+C274*Inputs!$B$12</f>
        <v>33661.0482097129</v>
      </c>
      <c r="D339" s="34" t="n">
        <f aca="false">IF(2&gt;Inputs!$B$7,0,(-PMT(D$268/12,Inputs!$B$7*12,(Inputs!$B$4*(1-Inputs!$B$5)))*12))+D274*Inputs!$B$9+Inputs!$B$10*(1+Inputs!$B$15)^1+Inputs!$B$11*12*(1+Inputs!$B$15)^1+D274*Inputs!$B$12</f>
        <v>34936.7060058879</v>
      </c>
      <c r="E339" s="34" t="n">
        <f aca="false">IF(2&gt;Inputs!$B$7,0,(-PMT(E$268/12,Inputs!$B$7*12,(Inputs!$B$4*(1-Inputs!$B$5)))*12))+E274*Inputs!$B$9+Inputs!$B$10*(1+Inputs!$B$15)^1+Inputs!$B$11*12*(1+Inputs!$B$15)^1+E274*Inputs!$B$12</f>
        <v>36245.0775129324</v>
      </c>
      <c r="F339" s="34" t="n">
        <f aca="false">IF(2&gt;Inputs!$B$7,0,(-PMT(F$268/12,Inputs!$B$7*12,(Inputs!$B$4*(1-Inputs!$B$5)))*12))+F274*Inputs!$B$9+Inputs!$B$10*(1+Inputs!$B$15)^1+Inputs!$B$11*12*(1+Inputs!$B$15)^1+F274*Inputs!$B$12</f>
        <v>36911.0410674846</v>
      </c>
      <c r="G339" s="34" t="n">
        <f aca="false">IF(2&gt;Inputs!$B$7,0,(-PMT(G$268/12,Inputs!$B$7*12,(Inputs!$B$4*(1-Inputs!$B$5)))*12))+G274*Inputs!$B$9+Inputs!$B$10*(1+Inputs!$B$15)^1+Inputs!$B$11*12*(1+Inputs!$B$15)^1+G274*Inputs!$B$12</f>
        <v>37584.5903325598</v>
      </c>
      <c r="H339" s="34" t="n">
        <f aca="false">IF(2&gt;Inputs!$B$7,0,(-PMT(H$268/12,Inputs!$B$7*12,(Inputs!$B$4*(1-Inputs!$B$5)))*12))+H274*Inputs!$B$9+Inputs!$B$10*(1+Inputs!$B$15)^1+Inputs!$B$11*12*(1+Inputs!$B$15)^1+H274*Inputs!$B$12</f>
        <v>38953.6378654132</v>
      </c>
      <c r="I339" s="34" t="n">
        <f aca="false">IF(2&gt;Inputs!$B$7,0,(-PMT(I$268/12,Inputs!$B$7*12,(Inputs!$B$4*(1-Inputs!$B$5)))*12))+I274*Inputs!$B$9+Inputs!$B$10*(1+Inputs!$B$15)^1+Inputs!$B$11*12*(1+Inputs!$B$15)^1+I274*Inputs!$B$12</f>
        <v>40350.5957795198</v>
      </c>
    </row>
    <row r="340" customFormat="false" ht="15" hidden="true" customHeight="true" outlineLevel="0" collapsed="false">
      <c r="B340" s="34" t="n">
        <f aca="false">IF(3&gt;Inputs!$B$7,0,(-PMT(B$268/12,Inputs!$B$7*12,(Inputs!$B$4*(1-Inputs!$B$5)))*12))+B275*Inputs!$B$9+Inputs!$B$10*(1+Inputs!$B$15)^2+Inputs!$B$11*12*(1+Inputs!$B$15)^2+B275*Inputs!$B$12</f>
        <v>32766.0479688434</v>
      </c>
      <c r="C340" s="34" t="n">
        <f aca="false">IF(3&gt;Inputs!$B$7,0,(-PMT(C$268/12,Inputs!$B$7*12,(Inputs!$B$4*(1-Inputs!$B$5)))*12))+C275*Inputs!$B$9+Inputs!$B$10*(1+Inputs!$B$15)^2+Inputs!$B$11*12*(1+Inputs!$B$15)^2+C275*Inputs!$B$12</f>
        <v>34007.4711997129</v>
      </c>
      <c r="D340" s="34" t="n">
        <f aca="false">IF(3&gt;Inputs!$B$7,0,(-PMT(D$268/12,Inputs!$B$7*12,(Inputs!$B$4*(1-Inputs!$B$5)))*12))+D275*Inputs!$B$9+Inputs!$B$10*(1+Inputs!$B$15)^2+Inputs!$B$11*12*(1+Inputs!$B$15)^2+D275*Inputs!$B$12</f>
        <v>35283.1289958879</v>
      </c>
      <c r="E340" s="34" t="n">
        <f aca="false">IF(3&gt;Inputs!$B$7,0,(-PMT(E$268/12,Inputs!$B$7*12,(Inputs!$B$4*(1-Inputs!$B$5)))*12))+E275*Inputs!$B$9+Inputs!$B$10*(1+Inputs!$B$15)^2+Inputs!$B$11*12*(1+Inputs!$B$15)^2+E275*Inputs!$B$12</f>
        <v>36591.5005029324</v>
      </c>
      <c r="F340" s="34" t="n">
        <f aca="false">IF(3&gt;Inputs!$B$7,0,(-PMT(F$268/12,Inputs!$B$7*12,(Inputs!$B$4*(1-Inputs!$B$5)))*12))+F275*Inputs!$B$9+Inputs!$B$10*(1+Inputs!$B$15)^2+Inputs!$B$11*12*(1+Inputs!$B$15)^2+F275*Inputs!$B$12</f>
        <v>37257.4640574846</v>
      </c>
      <c r="G340" s="34" t="n">
        <f aca="false">IF(3&gt;Inputs!$B$7,0,(-PMT(G$268/12,Inputs!$B$7*12,(Inputs!$B$4*(1-Inputs!$B$5)))*12))+G275*Inputs!$B$9+Inputs!$B$10*(1+Inputs!$B$15)^2+Inputs!$B$11*12*(1+Inputs!$B$15)^2+G275*Inputs!$B$12</f>
        <v>37931.0133225598</v>
      </c>
      <c r="H340" s="34" t="n">
        <f aca="false">IF(3&gt;Inputs!$B$7,0,(-PMT(H$268/12,Inputs!$B$7*12,(Inputs!$B$4*(1-Inputs!$B$5)))*12))+H275*Inputs!$B$9+Inputs!$B$10*(1+Inputs!$B$15)^2+Inputs!$B$11*12*(1+Inputs!$B$15)^2+H275*Inputs!$B$12</f>
        <v>39300.0608554132</v>
      </c>
      <c r="I340" s="34" t="n">
        <f aca="false">IF(3&gt;Inputs!$B$7,0,(-PMT(I$268/12,Inputs!$B$7*12,(Inputs!$B$4*(1-Inputs!$B$5)))*12))+I275*Inputs!$B$9+Inputs!$B$10*(1+Inputs!$B$15)^2+Inputs!$B$11*12*(1+Inputs!$B$15)^2+I275*Inputs!$B$12</f>
        <v>40697.0187695198</v>
      </c>
    </row>
    <row r="341" customFormat="false" ht="15" hidden="true" customHeight="true" outlineLevel="0" collapsed="false">
      <c r="B341" s="34" t="n">
        <f aca="false">IF(4&gt;Inputs!$B$7,0,(-PMT(B$268/12,Inputs!$B$7*12,(Inputs!$B$4*(1-Inputs!$B$5)))*12))+B276*Inputs!$B$9+Inputs!$B$10*(1+Inputs!$B$15)^3+Inputs!$B$11*12*(1+Inputs!$B$15)^3+B276*Inputs!$B$12</f>
        <v>33122.8636485434</v>
      </c>
      <c r="C341" s="34" t="n">
        <f aca="false">IF(4&gt;Inputs!$B$7,0,(-PMT(C$268/12,Inputs!$B$7*12,(Inputs!$B$4*(1-Inputs!$B$5)))*12))+C276*Inputs!$B$9+Inputs!$B$10*(1+Inputs!$B$15)^3+Inputs!$B$11*12*(1+Inputs!$B$15)^3+C276*Inputs!$B$12</f>
        <v>34364.2868794129</v>
      </c>
      <c r="D341" s="34" t="n">
        <f aca="false">IF(4&gt;Inputs!$B$7,0,(-PMT(D$268/12,Inputs!$B$7*12,(Inputs!$B$4*(1-Inputs!$B$5)))*12))+D276*Inputs!$B$9+Inputs!$B$10*(1+Inputs!$B$15)^3+Inputs!$B$11*12*(1+Inputs!$B$15)^3+D276*Inputs!$B$12</f>
        <v>35639.9446755879</v>
      </c>
      <c r="E341" s="34" t="n">
        <f aca="false">IF(4&gt;Inputs!$B$7,0,(-PMT(E$268/12,Inputs!$B$7*12,(Inputs!$B$4*(1-Inputs!$B$5)))*12))+E276*Inputs!$B$9+Inputs!$B$10*(1+Inputs!$B$15)^3+Inputs!$B$11*12*(1+Inputs!$B$15)^3+E276*Inputs!$B$12</f>
        <v>36948.3161826324</v>
      </c>
      <c r="F341" s="34" t="n">
        <f aca="false">IF(4&gt;Inputs!$B$7,0,(-PMT(F$268/12,Inputs!$B$7*12,(Inputs!$B$4*(1-Inputs!$B$5)))*12))+F276*Inputs!$B$9+Inputs!$B$10*(1+Inputs!$B$15)^3+Inputs!$B$11*12*(1+Inputs!$B$15)^3+F276*Inputs!$B$12</f>
        <v>37614.2797371846</v>
      </c>
      <c r="G341" s="34" t="n">
        <f aca="false">IF(4&gt;Inputs!$B$7,0,(-PMT(G$268/12,Inputs!$B$7*12,(Inputs!$B$4*(1-Inputs!$B$5)))*12))+G276*Inputs!$B$9+Inputs!$B$10*(1+Inputs!$B$15)^3+Inputs!$B$11*12*(1+Inputs!$B$15)^3+G276*Inputs!$B$12</f>
        <v>38287.8290022598</v>
      </c>
      <c r="H341" s="34" t="n">
        <f aca="false">IF(4&gt;Inputs!$B$7,0,(-PMT(H$268/12,Inputs!$B$7*12,(Inputs!$B$4*(1-Inputs!$B$5)))*12))+H276*Inputs!$B$9+Inputs!$B$10*(1+Inputs!$B$15)^3+Inputs!$B$11*12*(1+Inputs!$B$15)^3+H276*Inputs!$B$12</f>
        <v>39656.8765351132</v>
      </c>
      <c r="I341" s="34" t="n">
        <f aca="false">IF(4&gt;Inputs!$B$7,0,(-PMT(I$268/12,Inputs!$B$7*12,(Inputs!$B$4*(1-Inputs!$B$5)))*12))+I276*Inputs!$B$9+Inputs!$B$10*(1+Inputs!$B$15)^3+Inputs!$B$11*12*(1+Inputs!$B$15)^3+I276*Inputs!$B$12</f>
        <v>41053.8344492198</v>
      </c>
    </row>
    <row r="342" customFormat="false" ht="15" hidden="true" customHeight="true" outlineLevel="0" collapsed="false">
      <c r="B342" s="34" t="n">
        <f aca="false">IF(5&gt;Inputs!$B$7,0,(-PMT(B$268/12,Inputs!$B$7*12,(Inputs!$B$4*(1-Inputs!$B$5)))*12))+B277*Inputs!$B$9+Inputs!$B$10*(1+Inputs!$B$15)^4+Inputs!$B$11*12*(1+Inputs!$B$15)^4+B277*Inputs!$B$12</f>
        <v>33490.3837986344</v>
      </c>
      <c r="C342" s="34" t="n">
        <f aca="false">IF(5&gt;Inputs!$B$7,0,(-PMT(C$268/12,Inputs!$B$7*12,(Inputs!$B$4*(1-Inputs!$B$5)))*12))+C277*Inputs!$B$9+Inputs!$B$10*(1+Inputs!$B$15)^4+Inputs!$B$11*12*(1+Inputs!$B$15)^4+C277*Inputs!$B$12</f>
        <v>34731.8070295039</v>
      </c>
      <c r="D342" s="34" t="n">
        <f aca="false">IF(5&gt;Inputs!$B$7,0,(-PMT(D$268/12,Inputs!$B$7*12,(Inputs!$B$4*(1-Inputs!$B$5)))*12))+D277*Inputs!$B$9+Inputs!$B$10*(1+Inputs!$B$15)^4+Inputs!$B$11*12*(1+Inputs!$B$15)^4+D277*Inputs!$B$12</f>
        <v>36007.4648256789</v>
      </c>
      <c r="E342" s="34" t="n">
        <f aca="false">IF(5&gt;Inputs!$B$7,0,(-PMT(E$268/12,Inputs!$B$7*12,(Inputs!$B$4*(1-Inputs!$B$5)))*12))+E277*Inputs!$B$9+Inputs!$B$10*(1+Inputs!$B$15)^4+Inputs!$B$11*12*(1+Inputs!$B$15)^4+E277*Inputs!$B$12</f>
        <v>37315.8363327234</v>
      </c>
      <c r="F342" s="34" t="n">
        <f aca="false">IF(5&gt;Inputs!$B$7,0,(-PMT(F$268/12,Inputs!$B$7*12,(Inputs!$B$4*(1-Inputs!$B$5)))*12))+F277*Inputs!$B$9+Inputs!$B$10*(1+Inputs!$B$15)^4+Inputs!$B$11*12*(1+Inputs!$B$15)^4+F277*Inputs!$B$12</f>
        <v>37981.7998872756</v>
      </c>
      <c r="G342" s="34" t="n">
        <f aca="false">IF(5&gt;Inputs!$B$7,0,(-PMT(G$268/12,Inputs!$B$7*12,(Inputs!$B$4*(1-Inputs!$B$5)))*12))+G277*Inputs!$B$9+Inputs!$B$10*(1+Inputs!$B$15)^4+Inputs!$B$11*12*(1+Inputs!$B$15)^4+G277*Inputs!$B$12</f>
        <v>38655.3491523508</v>
      </c>
      <c r="H342" s="34" t="n">
        <f aca="false">IF(5&gt;Inputs!$B$7,0,(-PMT(H$268/12,Inputs!$B$7*12,(Inputs!$B$4*(1-Inputs!$B$5)))*12))+H277*Inputs!$B$9+Inputs!$B$10*(1+Inputs!$B$15)^4+Inputs!$B$11*12*(1+Inputs!$B$15)^4+H277*Inputs!$B$12</f>
        <v>40024.3966852042</v>
      </c>
      <c r="I342" s="34" t="n">
        <f aca="false">IF(5&gt;Inputs!$B$7,0,(-PMT(I$268/12,Inputs!$B$7*12,(Inputs!$B$4*(1-Inputs!$B$5)))*12))+I277*Inputs!$B$9+Inputs!$B$10*(1+Inputs!$B$15)^4+Inputs!$B$11*12*(1+Inputs!$B$15)^4+I277*Inputs!$B$12</f>
        <v>41421.3545993108</v>
      </c>
    </row>
    <row r="343" customFormat="false" ht="15" hidden="true" customHeight="true" outlineLevel="0" collapsed="false">
      <c r="B343" s="34" t="n">
        <f aca="false">IF(6&gt;Inputs!$B$7,0,(-PMT(B$268/12,Inputs!$B$7*12,(Inputs!$B$4*(1-Inputs!$B$5)))*12))+B278*Inputs!$B$9+Inputs!$B$10*(1+Inputs!$B$15)^5+Inputs!$B$11*12*(1+Inputs!$B$15)^5+B278*Inputs!$B$12</f>
        <v>33868.9295532281</v>
      </c>
      <c r="C343" s="34" t="n">
        <f aca="false">IF(6&gt;Inputs!$B$7,0,(-PMT(C$268/12,Inputs!$B$7*12,(Inputs!$B$4*(1-Inputs!$B$5)))*12))+C278*Inputs!$B$9+Inputs!$B$10*(1+Inputs!$B$15)^5+Inputs!$B$11*12*(1+Inputs!$B$15)^5+C278*Inputs!$B$12</f>
        <v>35110.3527840976</v>
      </c>
      <c r="D343" s="34" t="n">
        <f aca="false">IF(6&gt;Inputs!$B$7,0,(-PMT(D$268/12,Inputs!$B$7*12,(Inputs!$B$4*(1-Inputs!$B$5)))*12))+D278*Inputs!$B$9+Inputs!$B$10*(1+Inputs!$B$15)^5+Inputs!$B$11*12*(1+Inputs!$B$15)^5+D278*Inputs!$B$12</f>
        <v>36386.0105802726</v>
      </c>
      <c r="E343" s="34" t="n">
        <f aca="false">IF(6&gt;Inputs!$B$7,0,(-PMT(E$268/12,Inputs!$B$7*12,(Inputs!$B$4*(1-Inputs!$B$5)))*12))+E278*Inputs!$B$9+Inputs!$B$10*(1+Inputs!$B$15)^5+Inputs!$B$11*12*(1+Inputs!$B$15)^5+E278*Inputs!$B$12</f>
        <v>37694.3820873172</v>
      </c>
      <c r="F343" s="34" t="n">
        <f aca="false">IF(6&gt;Inputs!$B$7,0,(-PMT(F$268/12,Inputs!$B$7*12,(Inputs!$B$4*(1-Inputs!$B$5)))*12))+F278*Inputs!$B$9+Inputs!$B$10*(1+Inputs!$B$15)^5+Inputs!$B$11*12*(1+Inputs!$B$15)^5+F278*Inputs!$B$12</f>
        <v>38360.3456418693</v>
      </c>
      <c r="G343" s="34" t="n">
        <f aca="false">IF(6&gt;Inputs!$B$7,0,(-PMT(G$268/12,Inputs!$B$7*12,(Inputs!$B$4*(1-Inputs!$B$5)))*12))+G278*Inputs!$B$9+Inputs!$B$10*(1+Inputs!$B$15)^5+Inputs!$B$11*12*(1+Inputs!$B$15)^5+G278*Inputs!$B$12</f>
        <v>39033.8949069445</v>
      </c>
      <c r="H343" s="34" t="n">
        <f aca="false">IF(6&gt;Inputs!$B$7,0,(-PMT(H$268/12,Inputs!$B$7*12,(Inputs!$B$4*(1-Inputs!$B$5)))*12))+H278*Inputs!$B$9+Inputs!$B$10*(1+Inputs!$B$15)^5+Inputs!$B$11*12*(1+Inputs!$B$15)^5+H278*Inputs!$B$12</f>
        <v>40402.9424397979</v>
      </c>
      <c r="I343" s="34" t="n">
        <f aca="false">IF(6&gt;Inputs!$B$7,0,(-PMT(I$268/12,Inputs!$B$7*12,(Inputs!$B$4*(1-Inputs!$B$5)))*12))+I278*Inputs!$B$9+Inputs!$B$10*(1+Inputs!$B$15)^5+Inputs!$B$11*12*(1+Inputs!$B$15)^5+I278*Inputs!$B$12</f>
        <v>41799.9003539045</v>
      </c>
    </row>
    <row r="344" customFormat="false" ht="15" hidden="true" customHeight="true" outlineLevel="0" collapsed="false">
      <c r="B344" s="34" t="n">
        <f aca="false">IF(7&gt;Inputs!$B$7,0,(-PMT(B$268/12,Inputs!$B$7*12,(Inputs!$B$4*(1-Inputs!$B$5)))*12))+B279*Inputs!$B$9+Inputs!$B$10*(1+Inputs!$B$15)^6+Inputs!$B$11*12*(1+Inputs!$B$15)^6+B279*Inputs!$B$12</f>
        <v>34258.8316804597</v>
      </c>
      <c r="C344" s="34" t="n">
        <f aca="false">IF(7&gt;Inputs!$B$7,0,(-PMT(C$268/12,Inputs!$B$7*12,(Inputs!$B$4*(1-Inputs!$B$5)))*12))+C279*Inputs!$B$9+Inputs!$B$10*(1+Inputs!$B$15)^6+Inputs!$B$11*12*(1+Inputs!$B$15)^6+C279*Inputs!$B$12</f>
        <v>35500.2549113291</v>
      </c>
      <c r="D344" s="34" t="n">
        <f aca="false">IF(7&gt;Inputs!$B$7,0,(-PMT(D$268/12,Inputs!$B$7*12,(Inputs!$B$4*(1-Inputs!$B$5)))*12))+D279*Inputs!$B$9+Inputs!$B$10*(1+Inputs!$B$15)^6+Inputs!$B$11*12*(1+Inputs!$B$15)^6+D279*Inputs!$B$12</f>
        <v>36775.9127075042</v>
      </c>
      <c r="E344" s="34" t="n">
        <f aca="false">IF(7&gt;Inputs!$B$7,0,(-PMT(E$268/12,Inputs!$B$7*12,(Inputs!$B$4*(1-Inputs!$B$5)))*12))+E279*Inputs!$B$9+Inputs!$B$10*(1+Inputs!$B$15)^6+Inputs!$B$11*12*(1+Inputs!$B$15)^6+E279*Inputs!$B$12</f>
        <v>38084.2842145487</v>
      </c>
      <c r="F344" s="34" t="n">
        <f aca="false">IF(7&gt;Inputs!$B$7,0,(-PMT(F$268/12,Inputs!$B$7*12,(Inputs!$B$4*(1-Inputs!$B$5)))*12))+F279*Inputs!$B$9+Inputs!$B$10*(1+Inputs!$B$15)^6+Inputs!$B$11*12*(1+Inputs!$B$15)^6+F279*Inputs!$B$12</f>
        <v>38750.2477691009</v>
      </c>
      <c r="G344" s="34" t="n">
        <f aca="false">IF(7&gt;Inputs!$B$7,0,(-PMT(G$268/12,Inputs!$B$7*12,(Inputs!$B$4*(1-Inputs!$B$5)))*12))+G279*Inputs!$B$9+Inputs!$B$10*(1+Inputs!$B$15)^6+Inputs!$B$11*12*(1+Inputs!$B$15)^6+G279*Inputs!$B$12</f>
        <v>39423.797034176</v>
      </c>
      <c r="H344" s="34" t="n">
        <f aca="false">IF(7&gt;Inputs!$B$7,0,(-PMT(H$268/12,Inputs!$B$7*12,(Inputs!$B$4*(1-Inputs!$B$5)))*12))+H279*Inputs!$B$9+Inputs!$B$10*(1+Inputs!$B$15)^6+Inputs!$B$11*12*(1+Inputs!$B$15)^6+H279*Inputs!$B$12</f>
        <v>40792.8445670295</v>
      </c>
      <c r="I344" s="34" t="n">
        <f aca="false">IF(7&gt;Inputs!$B$7,0,(-PMT(I$268/12,Inputs!$B$7*12,(Inputs!$B$4*(1-Inputs!$B$5)))*12))+I279*Inputs!$B$9+Inputs!$B$10*(1+Inputs!$B$15)^6+Inputs!$B$11*12*(1+Inputs!$B$15)^6+I279*Inputs!$B$12</f>
        <v>42189.802481136</v>
      </c>
    </row>
    <row r="345" customFormat="false" ht="15" hidden="true" customHeight="true" outlineLevel="0" collapsed="false">
      <c r="B345" s="34" t="n">
        <f aca="false">IF(8&gt;Inputs!$B$7,0,(-PMT(B$268/12,Inputs!$B$7*12,(Inputs!$B$4*(1-Inputs!$B$5)))*12))+B280*Inputs!$B$9+Inputs!$B$10*(1+Inputs!$B$15)^7+Inputs!$B$11*12*(1+Inputs!$B$15)^7+B280*Inputs!$B$12</f>
        <v>34660.4308715082</v>
      </c>
      <c r="C345" s="34" t="n">
        <f aca="false">IF(8&gt;Inputs!$B$7,0,(-PMT(C$268/12,Inputs!$B$7*12,(Inputs!$B$4*(1-Inputs!$B$5)))*12))+C280*Inputs!$B$9+Inputs!$B$10*(1+Inputs!$B$15)^7+Inputs!$B$11*12*(1+Inputs!$B$15)^7+C280*Inputs!$B$12</f>
        <v>35901.8541023776</v>
      </c>
      <c r="D345" s="34" t="n">
        <f aca="false">IF(8&gt;Inputs!$B$7,0,(-PMT(D$268/12,Inputs!$B$7*12,(Inputs!$B$4*(1-Inputs!$B$5)))*12))+D280*Inputs!$B$9+Inputs!$B$10*(1+Inputs!$B$15)^7+Inputs!$B$11*12*(1+Inputs!$B$15)^7+D280*Inputs!$B$12</f>
        <v>37177.5118985527</v>
      </c>
      <c r="E345" s="34" t="n">
        <f aca="false">IF(8&gt;Inputs!$B$7,0,(-PMT(E$268/12,Inputs!$B$7*12,(Inputs!$B$4*(1-Inputs!$B$5)))*12))+E280*Inputs!$B$9+Inputs!$B$10*(1+Inputs!$B$15)^7+Inputs!$B$11*12*(1+Inputs!$B$15)^7+E280*Inputs!$B$12</f>
        <v>38485.8834055972</v>
      </c>
      <c r="F345" s="34" t="n">
        <f aca="false">IF(8&gt;Inputs!$B$7,0,(-PMT(F$268/12,Inputs!$B$7*12,(Inputs!$B$4*(1-Inputs!$B$5)))*12))+F280*Inputs!$B$9+Inputs!$B$10*(1+Inputs!$B$15)^7+Inputs!$B$11*12*(1+Inputs!$B$15)^7+F280*Inputs!$B$12</f>
        <v>39151.8469601494</v>
      </c>
      <c r="G345" s="34" t="n">
        <f aca="false">IF(8&gt;Inputs!$B$7,0,(-PMT(G$268/12,Inputs!$B$7*12,(Inputs!$B$4*(1-Inputs!$B$5)))*12))+G280*Inputs!$B$9+Inputs!$B$10*(1+Inputs!$B$15)^7+Inputs!$B$11*12*(1+Inputs!$B$15)^7+G280*Inputs!$B$12</f>
        <v>39825.3962252245</v>
      </c>
      <c r="H345" s="34" t="n">
        <f aca="false">IF(8&gt;Inputs!$B$7,0,(-PMT(H$268/12,Inputs!$B$7*12,(Inputs!$B$4*(1-Inputs!$B$5)))*12))+H280*Inputs!$B$9+Inputs!$B$10*(1+Inputs!$B$15)^7+Inputs!$B$11*12*(1+Inputs!$B$15)^7+H280*Inputs!$B$12</f>
        <v>41194.443758078</v>
      </c>
      <c r="I345" s="34" t="n">
        <f aca="false">IF(8&gt;Inputs!$B$7,0,(-PMT(I$268/12,Inputs!$B$7*12,(Inputs!$B$4*(1-Inputs!$B$5)))*12))+I280*Inputs!$B$9+Inputs!$B$10*(1+Inputs!$B$15)^7+Inputs!$B$11*12*(1+Inputs!$B$15)^7+I280*Inputs!$B$12</f>
        <v>42591.4016721845</v>
      </c>
    </row>
    <row r="346" customFormat="false" ht="15" hidden="true" customHeight="true" outlineLevel="0" collapsed="false">
      <c r="B346" s="34" t="n">
        <f aca="false">IF(9&gt;Inputs!$B$7,0,(-PMT(B$268/12,Inputs!$B$7*12,(Inputs!$B$4*(1-Inputs!$B$5)))*12))+B281*Inputs!$B$9+Inputs!$B$10*(1+Inputs!$B$15)^8+Inputs!$B$11*12*(1+Inputs!$B$15)^8+B281*Inputs!$B$12</f>
        <v>35074.0780382881</v>
      </c>
      <c r="C346" s="34" t="n">
        <f aca="false">IF(9&gt;Inputs!$B$7,0,(-PMT(C$268/12,Inputs!$B$7*12,(Inputs!$B$4*(1-Inputs!$B$5)))*12))+C281*Inputs!$B$9+Inputs!$B$10*(1+Inputs!$B$15)^8+Inputs!$B$11*12*(1+Inputs!$B$15)^8+C281*Inputs!$B$12</f>
        <v>36315.5012691576</v>
      </c>
      <c r="D346" s="34" t="n">
        <f aca="false">IF(9&gt;Inputs!$B$7,0,(-PMT(D$268/12,Inputs!$B$7*12,(Inputs!$B$4*(1-Inputs!$B$5)))*12))+D281*Inputs!$B$9+Inputs!$B$10*(1+Inputs!$B$15)^8+Inputs!$B$11*12*(1+Inputs!$B$15)^8+D281*Inputs!$B$12</f>
        <v>37591.1590653326</v>
      </c>
      <c r="E346" s="34" t="n">
        <f aca="false">IF(9&gt;Inputs!$B$7,0,(-PMT(E$268/12,Inputs!$B$7*12,(Inputs!$B$4*(1-Inputs!$B$5)))*12))+E281*Inputs!$B$9+Inputs!$B$10*(1+Inputs!$B$15)^8+Inputs!$B$11*12*(1+Inputs!$B$15)^8+E281*Inputs!$B$12</f>
        <v>38899.5305723771</v>
      </c>
      <c r="F346" s="34" t="n">
        <f aca="false">IF(9&gt;Inputs!$B$7,0,(-PMT(F$268/12,Inputs!$B$7*12,(Inputs!$B$4*(1-Inputs!$B$5)))*12))+F281*Inputs!$B$9+Inputs!$B$10*(1+Inputs!$B$15)^8+Inputs!$B$11*12*(1+Inputs!$B$15)^8+F281*Inputs!$B$12</f>
        <v>39565.4941269293</v>
      </c>
      <c r="G346" s="34" t="n">
        <f aca="false">IF(9&gt;Inputs!$B$7,0,(-PMT(G$268/12,Inputs!$B$7*12,(Inputs!$B$4*(1-Inputs!$B$5)))*12))+G281*Inputs!$B$9+Inputs!$B$10*(1+Inputs!$B$15)^8+Inputs!$B$11*12*(1+Inputs!$B$15)^8+G281*Inputs!$B$12</f>
        <v>40239.0433920045</v>
      </c>
      <c r="H346" s="34" t="n">
        <f aca="false">IF(9&gt;Inputs!$B$7,0,(-PMT(H$268/12,Inputs!$B$7*12,(Inputs!$B$4*(1-Inputs!$B$5)))*12))+H281*Inputs!$B$9+Inputs!$B$10*(1+Inputs!$B$15)^8+Inputs!$B$11*12*(1+Inputs!$B$15)^8+H281*Inputs!$B$12</f>
        <v>41608.0909248579</v>
      </c>
      <c r="I346" s="34" t="n">
        <f aca="false">IF(9&gt;Inputs!$B$7,0,(-PMT(I$268/12,Inputs!$B$7*12,(Inputs!$B$4*(1-Inputs!$B$5)))*12))+I281*Inputs!$B$9+Inputs!$B$10*(1+Inputs!$B$15)^8+Inputs!$B$11*12*(1+Inputs!$B$15)^8+I281*Inputs!$B$12</f>
        <v>43005.0488389645</v>
      </c>
    </row>
    <row r="347" customFormat="false" ht="15" hidden="true" customHeight="true" outlineLevel="0" collapsed="false">
      <c r="B347" s="34" t="n">
        <f aca="false">IF(10&gt;Inputs!$B$7,0,(-PMT(B$268/12,Inputs!$B$7*12,(Inputs!$B$4*(1-Inputs!$B$5)))*12))+B282*Inputs!$B$9+Inputs!$B$10*(1+Inputs!$B$15)^9+Inputs!$B$11*12*(1+Inputs!$B$15)^9+B282*Inputs!$B$12</f>
        <v>35500.1346200715</v>
      </c>
      <c r="C347" s="34" t="n">
        <f aca="false">IF(10&gt;Inputs!$B$7,0,(-PMT(C$268/12,Inputs!$B$7*12,(Inputs!$B$4*(1-Inputs!$B$5)))*12))+C282*Inputs!$B$9+Inputs!$B$10*(1+Inputs!$B$15)^9+Inputs!$B$11*12*(1+Inputs!$B$15)^9+C282*Inputs!$B$12</f>
        <v>36741.5578509409</v>
      </c>
      <c r="D347" s="34" t="n">
        <f aca="false">IF(10&gt;Inputs!$B$7,0,(-PMT(D$268/12,Inputs!$B$7*12,(Inputs!$B$4*(1-Inputs!$B$5)))*12))+D282*Inputs!$B$9+Inputs!$B$10*(1+Inputs!$B$15)^9+Inputs!$B$11*12*(1+Inputs!$B$15)^9+D282*Inputs!$B$12</f>
        <v>38017.215647116</v>
      </c>
      <c r="E347" s="34" t="n">
        <f aca="false">IF(10&gt;Inputs!$B$7,0,(-PMT(E$268/12,Inputs!$B$7*12,(Inputs!$B$4*(1-Inputs!$B$5)))*12))+E282*Inputs!$B$9+Inputs!$B$10*(1+Inputs!$B$15)^9+Inputs!$B$11*12*(1+Inputs!$B$15)^9+E282*Inputs!$B$12</f>
        <v>39325.5871541605</v>
      </c>
      <c r="F347" s="34" t="n">
        <f aca="false">IF(10&gt;Inputs!$B$7,0,(-PMT(F$268/12,Inputs!$B$7*12,(Inputs!$B$4*(1-Inputs!$B$5)))*12))+F282*Inputs!$B$9+Inputs!$B$10*(1+Inputs!$B$15)^9+Inputs!$B$11*12*(1+Inputs!$B$15)^9+F282*Inputs!$B$12</f>
        <v>39991.5507087126</v>
      </c>
      <c r="G347" s="34" t="n">
        <f aca="false">IF(10&gt;Inputs!$B$7,0,(-PMT(G$268/12,Inputs!$B$7*12,(Inputs!$B$4*(1-Inputs!$B$5)))*12))+G282*Inputs!$B$9+Inputs!$B$10*(1+Inputs!$B$15)^9+Inputs!$B$11*12*(1+Inputs!$B$15)^9+G282*Inputs!$B$12</f>
        <v>40665.0999737878</v>
      </c>
      <c r="H347" s="34" t="n">
        <f aca="false">IF(10&gt;Inputs!$B$7,0,(-PMT(H$268/12,Inputs!$B$7*12,(Inputs!$B$4*(1-Inputs!$B$5)))*12))+H282*Inputs!$B$9+Inputs!$B$10*(1+Inputs!$B$15)^9+Inputs!$B$11*12*(1+Inputs!$B$15)^9+H282*Inputs!$B$12</f>
        <v>42034.1475066412</v>
      </c>
      <c r="I347" s="34" t="n">
        <f aca="false">IF(10&gt;Inputs!$B$7,0,(-PMT(I$268/12,Inputs!$B$7*12,(Inputs!$B$4*(1-Inputs!$B$5)))*12))+I282*Inputs!$B$9+Inputs!$B$10*(1+Inputs!$B$15)^9+Inputs!$B$11*12*(1+Inputs!$B$15)^9+I282*Inputs!$B$12</f>
        <v>43431.1054207478</v>
      </c>
    </row>
    <row r="348" customFormat="false" ht="15" hidden="true" customHeight="true" outlineLevel="0" collapsed="false">
      <c r="B348" s="34" t="n">
        <f aca="false">IF(11&gt;Inputs!$B$7,0,(-PMT(B$268/12,Inputs!$B$7*12,(Inputs!$B$4*(1-Inputs!$B$5)))*12))+B283*Inputs!$B$9+Inputs!$B$10*(1+Inputs!$B$15)^10+Inputs!$B$11*12*(1+Inputs!$B$15)^10+B283*Inputs!$B$12</f>
        <v>35938.9728993083</v>
      </c>
      <c r="C348" s="34" t="n">
        <f aca="false">IF(11&gt;Inputs!$B$7,0,(-PMT(C$268/12,Inputs!$B$7*12,(Inputs!$B$4*(1-Inputs!$B$5)))*12))+C283*Inputs!$B$9+Inputs!$B$10*(1+Inputs!$B$15)^10+Inputs!$B$11*12*(1+Inputs!$B$15)^10+C283*Inputs!$B$12</f>
        <v>37180.3961301777</v>
      </c>
      <c r="D348" s="34" t="n">
        <f aca="false">IF(11&gt;Inputs!$B$7,0,(-PMT(D$268/12,Inputs!$B$7*12,(Inputs!$B$4*(1-Inputs!$B$5)))*12))+D283*Inputs!$B$9+Inputs!$B$10*(1+Inputs!$B$15)^10+Inputs!$B$11*12*(1+Inputs!$B$15)^10+D283*Inputs!$B$12</f>
        <v>38456.0539263528</v>
      </c>
      <c r="E348" s="34" t="n">
        <f aca="false">IF(11&gt;Inputs!$B$7,0,(-PMT(E$268/12,Inputs!$B$7*12,(Inputs!$B$4*(1-Inputs!$B$5)))*12))+E283*Inputs!$B$9+Inputs!$B$10*(1+Inputs!$B$15)^10+Inputs!$B$11*12*(1+Inputs!$B$15)^10+E283*Inputs!$B$12</f>
        <v>39764.4254333973</v>
      </c>
      <c r="F348" s="34" t="n">
        <f aca="false">IF(11&gt;Inputs!$B$7,0,(-PMT(F$268/12,Inputs!$B$7*12,(Inputs!$B$4*(1-Inputs!$B$5)))*12))+F283*Inputs!$B$9+Inputs!$B$10*(1+Inputs!$B$15)^10+Inputs!$B$11*12*(1+Inputs!$B$15)^10+F283*Inputs!$B$12</f>
        <v>40430.3889879495</v>
      </c>
      <c r="G348" s="34" t="n">
        <f aca="false">IF(11&gt;Inputs!$B$7,0,(-PMT(G$268/12,Inputs!$B$7*12,(Inputs!$B$4*(1-Inputs!$B$5)))*12))+G283*Inputs!$B$9+Inputs!$B$10*(1+Inputs!$B$15)^10+Inputs!$B$11*12*(1+Inputs!$B$15)^10+G283*Inputs!$B$12</f>
        <v>41103.9382530246</v>
      </c>
      <c r="H348" s="34" t="n">
        <f aca="false">IF(11&gt;Inputs!$B$7,0,(-PMT(H$268/12,Inputs!$B$7*12,(Inputs!$B$4*(1-Inputs!$B$5)))*12))+H283*Inputs!$B$9+Inputs!$B$10*(1+Inputs!$B$15)^10+Inputs!$B$11*12*(1+Inputs!$B$15)^10+H283*Inputs!$B$12</f>
        <v>42472.9857858781</v>
      </c>
      <c r="I348" s="34" t="n">
        <f aca="false">IF(11&gt;Inputs!$B$7,0,(-PMT(I$268/12,Inputs!$B$7*12,(Inputs!$B$4*(1-Inputs!$B$5)))*12))+I283*Inputs!$B$9+Inputs!$B$10*(1+Inputs!$B$15)^10+Inputs!$B$11*12*(1+Inputs!$B$15)^10+I283*Inputs!$B$12</f>
        <v>43869.9436999847</v>
      </c>
    </row>
    <row r="349" customFormat="false" ht="15" hidden="true" customHeight="true" outlineLevel="0" collapsed="false">
      <c r="B349" s="34" t="n">
        <f aca="false">IF(12&gt;Inputs!$B$7,0,(-PMT(B$268/12,Inputs!$B$7*12,(Inputs!$B$4*(1-Inputs!$B$5)))*12))+B284*Inputs!$B$9+Inputs!$B$10*(1+Inputs!$B$15)^11+Inputs!$B$11*12*(1+Inputs!$B$15)^11+B284*Inputs!$B$12</f>
        <v>36390.9763269222</v>
      </c>
      <c r="C349" s="34" t="n">
        <f aca="false">IF(12&gt;Inputs!$B$7,0,(-PMT(C$268/12,Inputs!$B$7*12,(Inputs!$B$4*(1-Inputs!$B$5)))*12))+C284*Inputs!$B$9+Inputs!$B$10*(1+Inputs!$B$15)^11+Inputs!$B$11*12*(1+Inputs!$B$15)^11+C284*Inputs!$B$12</f>
        <v>37632.3995577917</v>
      </c>
      <c r="D349" s="34" t="n">
        <f aca="false">IF(12&gt;Inputs!$B$7,0,(-PMT(D$268/12,Inputs!$B$7*12,(Inputs!$B$4*(1-Inputs!$B$5)))*12))+D284*Inputs!$B$9+Inputs!$B$10*(1+Inputs!$B$15)^11+Inputs!$B$11*12*(1+Inputs!$B$15)^11+D284*Inputs!$B$12</f>
        <v>38908.0573539667</v>
      </c>
      <c r="E349" s="34" t="n">
        <f aca="false">IF(12&gt;Inputs!$B$7,0,(-PMT(E$268/12,Inputs!$B$7*12,(Inputs!$B$4*(1-Inputs!$B$5)))*12))+E284*Inputs!$B$9+Inputs!$B$10*(1+Inputs!$B$15)^11+Inputs!$B$11*12*(1+Inputs!$B$15)^11+E284*Inputs!$B$12</f>
        <v>40216.4288610113</v>
      </c>
      <c r="F349" s="34" t="n">
        <f aca="false">IF(12&gt;Inputs!$B$7,0,(-PMT(F$268/12,Inputs!$B$7*12,(Inputs!$B$4*(1-Inputs!$B$5)))*12))+F284*Inputs!$B$9+Inputs!$B$10*(1+Inputs!$B$15)^11+Inputs!$B$11*12*(1+Inputs!$B$15)^11+F284*Inputs!$B$12</f>
        <v>40882.3924155634</v>
      </c>
      <c r="G349" s="34" t="n">
        <f aca="false">IF(12&gt;Inputs!$B$7,0,(-PMT(G$268/12,Inputs!$B$7*12,(Inputs!$B$4*(1-Inputs!$B$5)))*12))+G284*Inputs!$B$9+Inputs!$B$10*(1+Inputs!$B$15)^11+Inputs!$B$11*12*(1+Inputs!$B$15)^11+G284*Inputs!$B$12</f>
        <v>41555.9416806386</v>
      </c>
      <c r="H349" s="34" t="n">
        <f aca="false">IF(12&gt;Inputs!$B$7,0,(-PMT(H$268/12,Inputs!$B$7*12,(Inputs!$B$4*(1-Inputs!$B$5)))*12))+H284*Inputs!$B$9+Inputs!$B$10*(1+Inputs!$B$15)^11+Inputs!$B$11*12*(1+Inputs!$B$15)^11+H284*Inputs!$B$12</f>
        <v>42924.989213492</v>
      </c>
      <c r="I349" s="34" t="n">
        <f aca="false">IF(12&gt;Inputs!$B$7,0,(-PMT(I$268/12,Inputs!$B$7*12,(Inputs!$B$4*(1-Inputs!$B$5)))*12))+I284*Inputs!$B$9+Inputs!$B$10*(1+Inputs!$B$15)^11+Inputs!$B$11*12*(1+Inputs!$B$15)^11+I284*Inputs!$B$12</f>
        <v>44321.9471275986</v>
      </c>
    </row>
    <row r="350" customFormat="false" ht="15" hidden="true" customHeight="true" outlineLevel="0" collapsed="false">
      <c r="B350" s="34" t="n">
        <f aca="false">IF(13&gt;Inputs!$B$7,0,(-PMT(B$268/12,Inputs!$B$7*12,(Inputs!$B$4*(1-Inputs!$B$5)))*12))+B285*Inputs!$B$9+Inputs!$B$10*(1+Inputs!$B$15)^12+Inputs!$B$11*12*(1+Inputs!$B$15)^12+B285*Inputs!$B$12</f>
        <v>36856.5398573646</v>
      </c>
      <c r="C350" s="34" t="n">
        <f aca="false">IF(13&gt;Inputs!$B$7,0,(-PMT(C$268/12,Inputs!$B$7*12,(Inputs!$B$4*(1-Inputs!$B$5)))*12))+C285*Inputs!$B$9+Inputs!$B$10*(1+Inputs!$B$15)^12+Inputs!$B$11*12*(1+Inputs!$B$15)^12+C285*Inputs!$B$12</f>
        <v>38097.9630882341</v>
      </c>
      <c r="D350" s="34" t="n">
        <f aca="false">IF(13&gt;Inputs!$B$7,0,(-PMT(D$268/12,Inputs!$B$7*12,(Inputs!$B$4*(1-Inputs!$B$5)))*12))+D285*Inputs!$B$9+Inputs!$B$10*(1+Inputs!$B$15)^12+Inputs!$B$11*12*(1+Inputs!$B$15)^12+D285*Inputs!$B$12</f>
        <v>39373.6208844091</v>
      </c>
      <c r="E350" s="34" t="n">
        <f aca="false">IF(13&gt;Inputs!$B$7,0,(-PMT(E$268/12,Inputs!$B$7*12,(Inputs!$B$4*(1-Inputs!$B$5)))*12))+E285*Inputs!$B$9+Inputs!$B$10*(1+Inputs!$B$15)^12+Inputs!$B$11*12*(1+Inputs!$B$15)^12+E285*Inputs!$B$12</f>
        <v>40681.9923914536</v>
      </c>
      <c r="F350" s="34" t="n">
        <f aca="false">IF(13&gt;Inputs!$B$7,0,(-PMT(F$268/12,Inputs!$B$7*12,(Inputs!$B$4*(1-Inputs!$B$5)))*12))+F285*Inputs!$B$9+Inputs!$B$10*(1+Inputs!$B$15)^12+Inputs!$B$11*12*(1+Inputs!$B$15)^12+F285*Inputs!$B$12</f>
        <v>41347.9559460058</v>
      </c>
      <c r="G350" s="34" t="n">
        <f aca="false">IF(13&gt;Inputs!$B$7,0,(-PMT(G$268/12,Inputs!$B$7*12,(Inputs!$B$4*(1-Inputs!$B$5)))*12))+G285*Inputs!$B$9+Inputs!$B$10*(1+Inputs!$B$15)^12+Inputs!$B$11*12*(1+Inputs!$B$15)^12+G285*Inputs!$B$12</f>
        <v>42021.505211081</v>
      </c>
      <c r="H350" s="34" t="n">
        <f aca="false">IF(13&gt;Inputs!$B$7,0,(-PMT(H$268/12,Inputs!$B$7*12,(Inputs!$B$4*(1-Inputs!$B$5)))*12))+H285*Inputs!$B$9+Inputs!$B$10*(1+Inputs!$B$15)^12+Inputs!$B$11*12*(1+Inputs!$B$15)^12+H285*Inputs!$B$12</f>
        <v>43390.5527439344</v>
      </c>
      <c r="I350" s="34" t="n">
        <f aca="false">IF(13&gt;Inputs!$B$7,0,(-PMT(I$268/12,Inputs!$B$7*12,(Inputs!$B$4*(1-Inputs!$B$5)))*12))+I285*Inputs!$B$9+Inputs!$B$10*(1+Inputs!$B$15)^12+Inputs!$B$11*12*(1+Inputs!$B$15)^12+I285*Inputs!$B$12</f>
        <v>44787.510658041</v>
      </c>
    </row>
    <row r="351" customFormat="false" ht="15" hidden="true" customHeight="true" outlineLevel="0" collapsed="false">
      <c r="B351" s="34" t="n">
        <f aca="false">IF(14&gt;Inputs!$B$7,0,(-PMT(B$268/12,Inputs!$B$7*12,(Inputs!$B$4*(1-Inputs!$B$5)))*12))+B286*Inputs!$B$9+Inputs!$B$10*(1+Inputs!$B$15)^13+Inputs!$B$11*12*(1+Inputs!$B$15)^13+B286*Inputs!$B$12</f>
        <v>37336.0702937202</v>
      </c>
      <c r="C351" s="34" t="n">
        <f aca="false">IF(14&gt;Inputs!$B$7,0,(-PMT(C$268/12,Inputs!$B$7*12,(Inputs!$B$4*(1-Inputs!$B$5)))*12))+C286*Inputs!$B$9+Inputs!$B$10*(1+Inputs!$B$15)^13+Inputs!$B$11*12*(1+Inputs!$B$15)^13+C286*Inputs!$B$12</f>
        <v>38577.4935245897</v>
      </c>
      <c r="D351" s="34" t="n">
        <f aca="false">IF(14&gt;Inputs!$B$7,0,(-PMT(D$268/12,Inputs!$B$7*12,(Inputs!$B$4*(1-Inputs!$B$5)))*12))+D286*Inputs!$B$9+Inputs!$B$10*(1+Inputs!$B$15)^13+Inputs!$B$11*12*(1+Inputs!$B$15)^13+D286*Inputs!$B$12</f>
        <v>39853.1513207648</v>
      </c>
      <c r="E351" s="34" t="n">
        <f aca="false">IF(14&gt;Inputs!$B$7,0,(-PMT(E$268/12,Inputs!$B$7*12,(Inputs!$B$4*(1-Inputs!$B$5)))*12))+E286*Inputs!$B$9+Inputs!$B$10*(1+Inputs!$B$15)^13+Inputs!$B$11*12*(1+Inputs!$B$15)^13+E286*Inputs!$B$12</f>
        <v>41161.5228278093</v>
      </c>
      <c r="F351" s="34" t="n">
        <f aca="false">IF(14&gt;Inputs!$B$7,0,(-PMT(F$268/12,Inputs!$B$7*12,(Inputs!$B$4*(1-Inputs!$B$5)))*12))+F286*Inputs!$B$9+Inputs!$B$10*(1+Inputs!$B$15)^13+Inputs!$B$11*12*(1+Inputs!$B$15)^13+F286*Inputs!$B$12</f>
        <v>41827.4863823614</v>
      </c>
      <c r="G351" s="34" t="n">
        <f aca="false">IF(14&gt;Inputs!$B$7,0,(-PMT(G$268/12,Inputs!$B$7*12,(Inputs!$B$4*(1-Inputs!$B$5)))*12))+G286*Inputs!$B$9+Inputs!$B$10*(1+Inputs!$B$15)^13+Inputs!$B$11*12*(1+Inputs!$B$15)^13+G286*Inputs!$B$12</f>
        <v>42501.0356474366</v>
      </c>
      <c r="H351" s="34" t="n">
        <f aca="false">IF(14&gt;Inputs!$B$7,0,(-PMT(H$268/12,Inputs!$B$7*12,(Inputs!$B$4*(1-Inputs!$B$5)))*12))+H286*Inputs!$B$9+Inputs!$B$10*(1+Inputs!$B$15)^13+Inputs!$B$11*12*(1+Inputs!$B$15)^13+H286*Inputs!$B$12</f>
        <v>43870.08318029</v>
      </c>
      <c r="I351" s="34" t="n">
        <f aca="false">IF(14&gt;Inputs!$B$7,0,(-PMT(I$268/12,Inputs!$B$7*12,(Inputs!$B$4*(1-Inputs!$B$5)))*12))+I286*Inputs!$B$9+Inputs!$B$10*(1+Inputs!$B$15)^13+Inputs!$B$11*12*(1+Inputs!$B$15)^13+I286*Inputs!$B$12</f>
        <v>45267.0410943966</v>
      </c>
    </row>
    <row r="352" customFormat="false" ht="15" hidden="true" customHeight="true" outlineLevel="0" collapsed="false">
      <c r="B352" s="34" t="n">
        <f aca="false">IF(15&gt;Inputs!$B$7,0,(-PMT(B$268/12,Inputs!$B$7*12,(Inputs!$B$4*(1-Inputs!$B$5)))*12))+B287*Inputs!$B$9+Inputs!$B$10*(1+Inputs!$B$15)^14+Inputs!$B$11*12*(1+Inputs!$B$15)^14+B287*Inputs!$B$12</f>
        <v>37829.9866431665</v>
      </c>
      <c r="C352" s="34" t="n">
        <f aca="false">IF(15&gt;Inputs!$B$7,0,(-PMT(C$268/12,Inputs!$B$7*12,(Inputs!$B$4*(1-Inputs!$B$5)))*12))+C287*Inputs!$B$9+Inputs!$B$10*(1+Inputs!$B$15)^14+Inputs!$B$11*12*(1+Inputs!$B$15)^14+C287*Inputs!$B$12</f>
        <v>39071.409874036</v>
      </c>
      <c r="D352" s="34" t="n">
        <f aca="false">IF(15&gt;Inputs!$B$7,0,(-PMT(D$268/12,Inputs!$B$7*12,(Inputs!$B$4*(1-Inputs!$B$5)))*12))+D287*Inputs!$B$9+Inputs!$B$10*(1+Inputs!$B$15)^14+Inputs!$B$11*12*(1+Inputs!$B$15)^14+D287*Inputs!$B$12</f>
        <v>40347.0676702111</v>
      </c>
      <c r="E352" s="34" t="n">
        <f aca="false">IF(15&gt;Inputs!$B$7,0,(-PMT(E$268/12,Inputs!$B$7*12,(Inputs!$B$4*(1-Inputs!$B$5)))*12))+E287*Inputs!$B$9+Inputs!$B$10*(1+Inputs!$B$15)^14+Inputs!$B$11*12*(1+Inputs!$B$15)^14+E287*Inputs!$B$12</f>
        <v>41655.4391772556</v>
      </c>
      <c r="F352" s="34" t="n">
        <f aca="false">IF(15&gt;Inputs!$B$7,0,(-PMT(F$268/12,Inputs!$B$7*12,(Inputs!$B$4*(1-Inputs!$B$5)))*12))+F287*Inputs!$B$9+Inputs!$B$10*(1+Inputs!$B$15)^14+Inputs!$B$11*12*(1+Inputs!$B$15)^14+F287*Inputs!$B$12</f>
        <v>42321.4027318077</v>
      </c>
      <c r="G352" s="34" t="n">
        <f aca="false">IF(15&gt;Inputs!$B$7,0,(-PMT(G$268/12,Inputs!$B$7*12,(Inputs!$B$4*(1-Inputs!$B$5)))*12))+G287*Inputs!$B$9+Inputs!$B$10*(1+Inputs!$B$15)^14+Inputs!$B$11*12*(1+Inputs!$B$15)^14+G287*Inputs!$B$12</f>
        <v>42994.9519968829</v>
      </c>
      <c r="H352" s="34" t="n">
        <f aca="false">IF(15&gt;Inputs!$B$7,0,(-PMT(H$268/12,Inputs!$B$7*12,(Inputs!$B$4*(1-Inputs!$B$5)))*12))+H287*Inputs!$B$9+Inputs!$B$10*(1+Inputs!$B$15)^14+Inputs!$B$11*12*(1+Inputs!$B$15)^14+H287*Inputs!$B$12</f>
        <v>44363.9995297363</v>
      </c>
      <c r="I352" s="34" t="n">
        <f aca="false">IF(15&gt;Inputs!$B$7,0,(-PMT(I$268/12,Inputs!$B$7*12,(Inputs!$B$4*(1-Inputs!$B$5)))*12))+I287*Inputs!$B$9+Inputs!$B$10*(1+Inputs!$B$15)^14+Inputs!$B$11*12*(1+Inputs!$B$15)^14+I287*Inputs!$B$12</f>
        <v>45760.9574438429</v>
      </c>
    </row>
    <row r="353" customFormat="false" ht="15" hidden="true" customHeight="true" outlineLevel="0" collapsed="false">
      <c r="B353" s="34" t="n">
        <f aca="false">IF(16&gt;Inputs!$B$7,0,(-PMT(B$268/12,Inputs!$B$7*12,(Inputs!$B$4*(1-Inputs!$B$5)))*12))+B288*Inputs!$B$9+Inputs!$B$10*(1+Inputs!$B$15)^15+Inputs!$B$11*12*(1+Inputs!$B$15)^15+B288*Inputs!$B$12</f>
        <v>38338.7204830962</v>
      </c>
      <c r="C353" s="34" t="n">
        <f aca="false">IF(16&gt;Inputs!$B$7,0,(-PMT(C$268/12,Inputs!$B$7*12,(Inputs!$B$4*(1-Inputs!$B$5)))*12))+C288*Inputs!$B$9+Inputs!$B$10*(1+Inputs!$B$15)^15+Inputs!$B$11*12*(1+Inputs!$B$15)^15+C288*Inputs!$B$12</f>
        <v>39580.1437139657</v>
      </c>
      <c r="D353" s="34" t="n">
        <f aca="false">IF(16&gt;Inputs!$B$7,0,(-PMT(D$268/12,Inputs!$B$7*12,(Inputs!$B$4*(1-Inputs!$B$5)))*12))+D288*Inputs!$B$9+Inputs!$B$10*(1+Inputs!$B$15)^15+Inputs!$B$11*12*(1+Inputs!$B$15)^15+D288*Inputs!$B$12</f>
        <v>40855.8015101407</v>
      </c>
      <c r="E353" s="34" t="n">
        <f aca="false">IF(16&gt;Inputs!$B$7,0,(-PMT(E$268/12,Inputs!$B$7*12,(Inputs!$B$4*(1-Inputs!$B$5)))*12))+E288*Inputs!$B$9+Inputs!$B$10*(1+Inputs!$B$15)^15+Inputs!$B$11*12*(1+Inputs!$B$15)^15+E288*Inputs!$B$12</f>
        <v>42164.1730171853</v>
      </c>
      <c r="F353" s="34" t="n">
        <f aca="false">IF(16&gt;Inputs!$B$7,0,(-PMT(F$268/12,Inputs!$B$7*12,(Inputs!$B$4*(1-Inputs!$B$5)))*12))+F288*Inputs!$B$9+Inputs!$B$10*(1+Inputs!$B$15)^15+Inputs!$B$11*12*(1+Inputs!$B$15)^15+F288*Inputs!$B$12</f>
        <v>42830.1365717374</v>
      </c>
      <c r="G353" s="34" t="n">
        <f aca="false">IF(16&gt;Inputs!$B$7,0,(-PMT(G$268/12,Inputs!$B$7*12,(Inputs!$B$4*(1-Inputs!$B$5)))*12))+G288*Inputs!$B$9+Inputs!$B$10*(1+Inputs!$B$15)^15+Inputs!$B$11*12*(1+Inputs!$B$15)^15+G288*Inputs!$B$12</f>
        <v>43503.6858368126</v>
      </c>
      <c r="H353" s="34" t="n">
        <f aca="false">IF(16&gt;Inputs!$B$7,0,(-PMT(H$268/12,Inputs!$B$7*12,(Inputs!$B$4*(1-Inputs!$B$5)))*12))+H288*Inputs!$B$9+Inputs!$B$10*(1+Inputs!$B$15)^15+Inputs!$B$11*12*(1+Inputs!$B$15)^15+H288*Inputs!$B$12</f>
        <v>44872.733369666</v>
      </c>
      <c r="I353" s="34" t="n">
        <f aca="false">IF(16&gt;Inputs!$B$7,0,(-PMT(I$268/12,Inputs!$B$7*12,(Inputs!$B$4*(1-Inputs!$B$5)))*12))+I288*Inputs!$B$9+Inputs!$B$10*(1+Inputs!$B$15)^15+Inputs!$B$11*12*(1+Inputs!$B$15)^15+I288*Inputs!$B$12</f>
        <v>46269.6912837726</v>
      </c>
    </row>
    <row r="354" customFormat="false" ht="15" hidden="true" customHeight="true" outlineLevel="0" collapsed="false">
      <c r="B354" s="34" t="n">
        <f aca="false">IF(17&gt;Inputs!$B$7,0,(-PMT(B$268/12,Inputs!$B$7*12,(Inputs!$B$4*(1-Inputs!$B$5)))*12))+B289*Inputs!$B$9+Inputs!$B$10*(1+Inputs!$B$15)^16+Inputs!$B$11*12*(1+Inputs!$B$15)^16+B289*Inputs!$B$12</f>
        <v>38862.7163382238</v>
      </c>
      <c r="C354" s="34" t="n">
        <f aca="false">IF(17&gt;Inputs!$B$7,0,(-PMT(C$268/12,Inputs!$B$7*12,(Inputs!$B$4*(1-Inputs!$B$5)))*12))+C289*Inputs!$B$9+Inputs!$B$10*(1+Inputs!$B$15)^16+Inputs!$B$11*12*(1+Inputs!$B$15)^16+C289*Inputs!$B$12</f>
        <v>40104.1395690933</v>
      </c>
      <c r="D354" s="34" t="n">
        <f aca="false">IF(17&gt;Inputs!$B$7,0,(-PMT(D$268/12,Inputs!$B$7*12,(Inputs!$B$4*(1-Inputs!$B$5)))*12))+D289*Inputs!$B$9+Inputs!$B$10*(1+Inputs!$B$15)^16+Inputs!$B$11*12*(1+Inputs!$B$15)^16+D289*Inputs!$B$12</f>
        <v>41379.7973652683</v>
      </c>
      <c r="E354" s="34" t="n">
        <f aca="false">IF(17&gt;Inputs!$B$7,0,(-PMT(E$268/12,Inputs!$B$7*12,(Inputs!$B$4*(1-Inputs!$B$5)))*12))+E289*Inputs!$B$9+Inputs!$B$10*(1+Inputs!$B$15)^16+Inputs!$B$11*12*(1+Inputs!$B$15)^16+E289*Inputs!$B$12</f>
        <v>42688.1688723128</v>
      </c>
      <c r="F354" s="34" t="n">
        <f aca="false">IF(17&gt;Inputs!$B$7,0,(-PMT(F$268/12,Inputs!$B$7*12,(Inputs!$B$4*(1-Inputs!$B$5)))*12))+F289*Inputs!$B$9+Inputs!$B$10*(1+Inputs!$B$15)^16+Inputs!$B$11*12*(1+Inputs!$B$15)^16+F289*Inputs!$B$12</f>
        <v>43354.132426865</v>
      </c>
      <c r="G354" s="34" t="n">
        <f aca="false">IF(17&gt;Inputs!$B$7,0,(-PMT(G$268/12,Inputs!$B$7*12,(Inputs!$B$4*(1-Inputs!$B$5)))*12))+G289*Inputs!$B$9+Inputs!$B$10*(1+Inputs!$B$15)^16+Inputs!$B$11*12*(1+Inputs!$B$15)^16+G289*Inputs!$B$12</f>
        <v>44027.6816919402</v>
      </c>
      <c r="H354" s="34" t="n">
        <f aca="false">IF(17&gt;Inputs!$B$7,0,(-PMT(H$268/12,Inputs!$B$7*12,(Inputs!$B$4*(1-Inputs!$B$5)))*12))+H289*Inputs!$B$9+Inputs!$B$10*(1+Inputs!$B$15)^16+Inputs!$B$11*12*(1+Inputs!$B$15)^16+H289*Inputs!$B$12</f>
        <v>45396.7292247936</v>
      </c>
      <c r="I354" s="34" t="n">
        <f aca="false">IF(17&gt;Inputs!$B$7,0,(-PMT(I$268/12,Inputs!$B$7*12,(Inputs!$B$4*(1-Inputs!$B$5)))*12))+I289*Inputs!$B$9+Inputs!$B$10*(1+Inputs!$B$15)^16+Inputs!$B$11*12*(1+Inputs!$B$15)^16+I289*Inputs!$B$12</f>
        <v>46793.6871389002</v>
      </c>
    </row>
    <row r="355" customFormat="false" ht="15" hidden="true" customHeight="true" outlineLevel="0" collapsed="false">
      <c r="B355" s="34" t="n">
        <f aca="false">IF(18&gt;Inputs!$B$7,0,(-PMT(B$268/12,Inputs!$B$7*12,(Inputs!$B$4*(1-Inputs!$B$5)))*12))+B290*Inputs!$B$9+Inputs!$B$10*(1+Inputs!$B$15)^17+Inputs!$B$11*12*(1+Inputs!$B$15)^17+B290*Inputs!$B$12</f>
        <v>39402.4320690052</v>
      </c>
      <c r="C355" s="34" t="n">
        <f aca="false">IF(18&gt;Inputs!$B$7,0,(-PMT(C$268/12,Inputs!$B$7*12,(Inputs!$B$4*(1-Inputs!$B$5)))*12))+C290*Inputs!$B$9+Inputs!$B$10*(1+Inputs!$B$15)^17+Inputs!$B$11*12*(1+Inputs!$B$15)^17+C290*Inputs!$B$12</f>
        <v>40643.8552998747</v>
      </c>
      <c r="D355" s="34" t="n">
        <f aca="false">IF(18&gt;Inputs!$B$7,0,(-PMT(D$268/12,Inputs!$B$7*12,(Inputs!$B$4*(1-Inputs!$B$5)))*12))+D290*Inputs!$B$9+Inputs!$B$10*(1+Inputs!$B$15)^17+Inputs!$B$11*12*(1+Inputs!$B$15)^17+D290*Inputs!$B$12</f>
        <v>41919.5130960497</v>
      </c>
      <c r="E355" s="34" t="n">
        <f aca="false">IF(18&gt;Inputs!$B$7,0,(-PMT(E$268/12,Inputs!$B$7*12,(Inputs!$B$4*(1-Inputs!$B$5)))*12))+E290*Inputs!$B$9+Inputs!$B$10*(1+Inputs!$B$15)^17+Inputs!$B$11*12*(1+Inputs!$B$15)^17+E290*Inputs!$B$12</f>
        <v>43227.8846030942</v>
      </c>
      <c r="F355" s="34" t="n">
        <f aca="false">IF(18&gt;Inputs!$B$7,0,(-PMT(F$268/12,Inputs!$B$7*12,(Inputs!$B$4*(1-Inputs!$B$5)))*12))+F290*Inputs!$B$9+Inputs!$B$10*(1+Inputs!$B$15)^17+Inputs!$B$11*12*(1+Inputs!$B$15)^17+F290*Inputs!$B$12</f>
        <v>43893.8481576464</v>
      </c>
      <c r="G355" s="34" t="n">
        <f aca="false">IF(18&gt;Inputs!$B$7,0,(-PMT(G$268/12,Inputs!$B$7*12,(Inputs!$B$4*(1-Inputs!$B$5)))*12))+G290*Inputs!$B$9+Inputs!$B$10*(1+Inputs!$B$15)^17+Inputs!$B$11*12*(1+Inputs!$B$15)^17+G290*Inputs!$B$12</f>
        <v>44567.3974227216</v>
      </c>
      <c r="H355" s="34" t="n">
        <f aca="false">IF(18&gt;Inputs!$B$7,0,(-PMT(H$268/12,Inputs!$B$7*12,(Inputs!$B$4*(1-Inputs!$B$5)))*12))+H290*Inputs!$B$9+Inputs!$B$10*(1+Inputs!$B$15)^17+Inputs!$B$11*12*(1+Inputs!$B$15)^17+H290*Inputs!$B$12</f>
        <v>45936.444955575</v>
      </c>
      <c r="I355" s="34" t="n">
        <f aca="false">IF(18&gt;Inputs!$B$7,0,(-PMT(I$268/12,Inputs!$B$7*12,(Inputs!$B$4*(1-Inputs!$B$5)))*12))+I290*Inputs!$B$9+Inputs!$B$10*(1+Inputs!$B$15)^17+Inputs!$B$11*12*(1+Inputs!$B$15)^17+I290*Inputs!$B$12</f>
        <v>47333.4028696816</v>
      </c>
    </row>
    <row r="356" customFormat="false" ht="15" hidden="true" customHeight="true" outlineLevel="0" collapsed="false">
      <c r="B356" s="34" t="n">
        <f aca="false">IF(19&gt;Inputs!$B$7,0,(-PMT(B$268/12,Inputs!$B$7*12,(Inputs!$B$4*(1-Inputs!$B$5)))*12))+B291*Inputs!$B$9+Inputs!$B$10*(1+Inputs!$B$15)^18+Inputs!$B$11*12*(1+Inputs!$B$15)^18+B291*Inputs!$B$12</f>
        <v>39958.3392717101</v>
      </c>
      <c r="C356" s="34" t="n">
        <f aca="false">IF(19&gt;Inputs!$B$7,0,(-PMT(C$268/12,Inputs!$B$7*12,(Inputs!$B$4*(1-Inputs!$B$5)))*12))+C291*Inputs!$B$9+Inputs!$B$10*(1+Inputs!$B$15)^18+Inputs!$B$11*12*(1+Inputs!$B$15)^18+C291*Inputs!$B$12</f>
        <v>41199.7625025795</v>
      </c>
      <c r="D356" s="34" t="n">
        <f aca="false">IF(19&gt;Inputs!$B$7,0,(-PMT(D$268/12,Inputs!$B$7*12,(Inputs!$B$4*(1-Inputs!$B$5)))*12))+D291*Inputs!$B$9+Inputs!$B$10*(1+Inputs!$B$15)^18+Inputs!$B$11*12*(1+Inputs!$B$15)^18+D291*Inputs!$B$12</f>
        <v>42475.4202987546</v>
      </c>
      <c r="E356" s="34" t="n">
        <f aca="false">IF(19&gt;Inputs!$B$7,0,(-PMT(E$268/12,Inputs!$B$7*12,(Inputs!$B$4*(1-Inputs!$B$5)))*12))+E291*Inputs!$B$9+Inputs!$B$10*(1+Inputs!$B$15)^18+Inputs!$B$11*12*(1+Inputs!$B$15)^18+E291*Inputs!$B$12</f>
        <v>43783.7918057991</v>
      </c>
      <c r="F356" s="34" t="n">
        <f aca="false">IF(19&gt;Inputs!$B$7,0,(-PMT(F$268/12,Inputs!$B$7*12,(Inputs!$B$4*(1-Inputs!$B$5)))*12))+F291*Inputs!$B$9+Inputs!$B$10*(1+Inputs!$B$15)^18+Inputs!$B$11*12*(1+Inputs!$B$15)^18+F291*Inputs!$B$12</f>
        <v>44449.7553603513</v>
      </c>
      <c r="G356" s="34" t="n">
        <f aca="false">IF(19&gt;Inputs!$B$7,0,(-PMT(G$268/12,Inputs!$B$7*12,(Inputs!$B$4*(1-Inputs!$B$5)))*12))+G291*Inputs!$B$9+Inputs!$B$10*(1+Inputs!$B$15)^18+Inputs!$B$11*12*(1+Inputs!$B$15)^18+G291*Inputs!$B$12</f>
        <v>45123.3046254264</v>
      </c>
      <c r="H356" s="34" t="n">
        <f aca="false">IF(19&gt;Inputs!$B$7,0,(-PMT(H$268/12,Inputs!$B$7*12,(Inputs!$B$4*(1-Inputs!$B$5)))*12))+H291*Inputs!$B$9+Inputs!$B$10*(1+Inputs!$B$15)^18+Inputs!$B$11*12*(1+Inputs!$B$15)^18+H291*Inputs!$B$12</f>
        <v>46492.3521582799</v>
      </c>
      <c r="I356" s="34" t="n">
        <f aca="false">IF(19&gt;Inputs!$B$7,0,(-PMT(I$268/12,Inputs!$B$7*12,(Inputs!$B$4*(1-Inputs!$B$5)))*12))+I291*Inputs!$B$9+Inputs!$B$10*(1+Inputs!$B$15)^18+Inputs!$B$11*12*(1+Inputs!$B$15)^18+I291*Inputs!$B$12</f>
        <v>47889.3100723865</v>
      </c>
    </row>
    <row r="357" customFormat="false" ht="15" hidden="true" customHeight="true" outlineLevel="0" collapsed="false">
      <c r="B357" s="34" t="n">
        <f aca="false">IF(20&gt;Inputs!$B$7,0,(-PMT(B$268/12,Inputs!$B$7*12,(Inputs!$B$4*(1-Inputs!$B$5)))*12))+B292*Inputs!$B$9+Inputs!$B$10*(1+Inputs!$B$15)^19+Inputs!$B$11*12*(1+Inputs!$B$15)^19+B292*Inputs!$B$12</f>
        <v>40530.9236904961</v>
      </c>
      <c r="C357" s="34" t="n">
        <f aca="false">IF(20&gt;Inputs!$B$7,0,(-PMT(C$268/12,Inputs!$B$7*12,(Inputs!$B$4*(1-Inputs!$B$5)))*12))+C292*Inputs!$B$9+Inputs!$B$10*(1+Inputs!$B$15)^19+Inputs!$B$11*12*(1+Inputs!$B$15)^19+C292*Inputs!$B$12</f>
        <v>41772.3469213655</v>
      </c>
      <c r="D357" s="34" t="n">
        <f aca="false">IF(20&gt;Inputs!$B$7,0,(-PMT(D$268/12,Inputs!$B$7*12,(Inputs!$B$4*(1-Inputs!$B$5)))*12))+D292*Inputs!$B$9+Inputs!$B$10*(1+Inputs!$B$15)^19+Inputs!$B$11*12*(1+Inputs!$B$15)^19+D292*Inputs!$B$12</f>
        <v>43048.0047175406</v>
      </c>
      <c r="E357" s="34" t="n">
        <f aca="false">IF(20&gt;Inputs!$B$7,0,(-PMT(E$268/12,Inputs!$B$7*12,(Inputs!$B$4*(1-Inputs!$B$5)))*12))+E292*Inputs!$B$9+Inputs!$B$10*(1+Inputs!$B$15)^19+Inputs!$B$11*12*(1+Inputs!$B$15)^19+E292*Inputs!$B$12</f>
        <v>44356.3762245851</v>
      </c>
      <c r="F357" s="34" t="n">
        <f aca="false">IF(20&gt;Inputs!$B$7,0,(-PMT(F$268/12,Inputs!$B$7*12,(Inputs!$B$4*(1-Inputs!$B$5)))*12))+F292*Inputs!$B$9+Inputs!$B$10*(1+Inputs!$B$15)^19+Inputs!$B$11*12*(1+Inputs!$B$15)^19+F292*Inputs!$B$12</f>
        <v>45022.3397791373</v>
      </c>
      <c r="G357" s="34" t="n">
        <f aca="false">IF(20&gt;Inputs!$B$7,0,(-PMT(G$268/12,Inputs!$B$7*12,(Inputs!$B$4*(1-Inputs!$B$5)))*12))+G292*Inputs!$B$9+Inputs!$B$10*(1+Inputs!$B$15)^19+Inputs!$B$11*12*(1+Inputs!$B$15)^19+G292*Inputs!$B$12</f>
        <v>45695.8890442124</v>
      </c>
      <c r="H357" s="34" t="n">
        <f aca="false">IF(20&gt;Inputs!$B$7,0,(-PMT(H$268/12,Inputs!$B$7*12,(Inputs!$B$4*(1-Inputs!$B$5)))*12))+H292*Inputs!$B$9+Inputs!$B$10*(1+Inputs!$B$15)^19+Inputs!$B$11*12*(1+Inputs!$B$15)^19+H292*Inputs!$B$12</f>
        <v>47064.9365770659</v>
      </c>
      <c r="I357" s="34" t="n">
        <f aca="false">IF(20&gt;Inputs!$B$7,0,(-PMT(I$268/12,Inputs!$B$7*12,(Inputs!$B$4*(1-Inputs!$B$5)))*12))+I292*Inputs!$B$9+Inputs!$B$10*(1+Inputs!$B$15)^19+Inputs!$B$11*12*(1+Inputs!$B$15)^19+I292*Inputs!$B$12</f>
        <v>48461.8944911725</v>
      </c>
    </row>
    <row r="358" customFormat="false" ht="15" hidden="true" customHeight="true" outlineLevel="0" collapsed="false">
      <c r="B358" s="34" t="n">
        <f aca="false">IF(21&gt;Inputs!$B$7,0,(-PMT(B$268/12,Inputs!$B$7*12,(Inputs!$B$4*(1-Inputs!$B$5)))*12))+B293*Inputs!$B$9+Inputs!$B$10*(1+Inputs!$B$15)^20+Inputs!$B$11*12*(1+Inputs!$B$15)^20+B293*Inputs!$B$12</f>
        <v>41120.6856418457</v>
      </c>
      <c r="C358" s="34" t="n">
        <f aca="false">IF(21&gt;Inputs!$B$7,0,(-PMT(C$268/12,Inputs!$B$7*12,(Inputs!$B$4*(1-Inputs!$B$5)))*12))+C293*Inputs!$B$9+Inputs!$B$10*(1+Inputs!$B$15)^20+Inputs!$B$11*12*(1+Inputs!$B$15)^20+C293*Inputs!$B$12</f>
        <v>42362.1088727151</v>
      </c>
      <c r="D358" s="34" t="n">
        <f aca="false">IF(21&gt;Inputs!$B$7,0,(-PMT(D$268/12,Inputs!$B$7*12,(Inputs!$B$4*(1-Inputs!$B$5)))*12))+D293*Inputs!$B$9+Inputs!$B$10*(1+Inputs!$B$15)^20+Inputs!$B$11*12*(1+Inputs!$B$15)^20+D293*Inputs!$B$12</f>
        <v>43637.7666688902</v>
      </c>
      <c r="E358" s="34" t="n">
        <f aca="false">IF(21&gt;Inputs!$B$7,0,(-PMT(E$268/12,Inputs!$B$7*12,(Inputs!$B$4*(1-Inputs!$B$5)))*12))+E293*Inputs!$B$9+Inputs!$B$10*(1+Inputs!$B$15)^20+Inputs!$B$11*12*(1+Inputs!$B$15)^20+E293*Inputs!$B$12</f>
        <v>44946.1381759347</v>
      </c>
      <c r="F358" s="34" t="n">
        <f aca="false">IF(21&gt;Inputs!$B$7,0,(-PMT(F$268/12,Inputs!$B$7*12,(Inputs!$B$4*(1-Inputs!$B$5)))*12))+F293*Inputs!$B$9+Inputs!$B$10*(1+Inputs!$B$15)^20+Inputs!$B$11*12*(1+Inputs!$B$15)^20+F293*Inputs!$B$12</f>
        <v>45612.1017304869</v>
      </c>
      <c r="G358" s="34" t="n">
        <f aca="false">IF(21&gt;Inputs!$B$7,0,(-PMT(G$268/12,Inputs!$B$7*12,(Inputs!$B$4*(1-Inputs!$B$5)))*12))+G293*Inputs!$B$9+Inputs!$B$10*(1+Inputs!$B$15)^20+Inputs!$B$11*12*(1+Inputs!$B$15)^20+G293*Inputs!$B$12</f>
        <v>46285.650995562</v>
      </c>
      <c r="H358" s="34" t="n">
        <f aca="false">IF(21&gt;Inputs!$B$7,0,(-PMT(H$268/12,Inputs!$B$7*12,(Inputs!$B$4*(1-Inputs!$B$5)))*12))+H293*Inputs!$B$9+Inputs!$B$10*(1+Inputs!$B$15)^20+Inputs!$B$11*12*(1+Inputs!$B$15)^20+H293*Inputs!$B$12</f>
        <v>47654.6985284155</v>
      </c>
      <c r="I358" s="34" t="n">
        <f aca="false">IF(21&gt;Inputs!$B$7,0,(-PMT(I$268/12,Inputs!$B$7*12,(Inputs!$B$4*(1-Inputs!$B$5)))*12))+I293*Inputs!$B$9+Inputs!$B$10*(1+Inputs!$B$15)^20+Inputs!$B$11*12*(1+Inputs!$B$15)^20+I293*Inputs!$B$12</f>
        <v>49051.656442522</v>
      </c>
    </row>
    <row r="359" customFormat="false" ht="15" hidden="true" customHeight="true" outlineLevel="0" collapsed="false">
      <c r="B359" s="34" t="n">
        <f aca="false">IF(22&gt;Inputs!$B$7,0,(-PMT(B$268/12,Inputs!$B$7*12,(Inputs!$B$4*(1-Inputs!$B$5)))*12))+B294*Inputs!$B$9+Inputs!$B$10*(1+Inputs!$B$15)^21+Inputs!$B$11*12*(1+Inputs!$B$15)^21+B294*Inputs!$B$12</f>
        <v>41728.1404517357</v>
      </c>
      <c r="C359" s="34" t="n">
        <f aca="false">IF(22&gt;Inputs!$B$7,0,(-PMT(C$268/12,Inputs!$B$7*12,(Inputs!$B$4*(1-Inputs!$B$5)))*12))+C294*Inputs!$B$9+Inputs!$B$10*(1+Inputs!$B$15)^21+Inputs!$B$11*12*(1+Inputs!$B$15)^21+C294*Inputs!$B$12</f>
        <v>42969.5636826052</v>
      </c>
      <c r="D359" s="34" t="n">
        <f aca="false">IF(22&gt;Inputs!$B$7,0,(-PMT(D$268/12,Inputs!$B$7*12,(Inputs!$B$4*(1-Inputs!$B$5)))*12))+D294*Inputs!$B$9+Inputs!$B$10*(1+Inputs!$B$15)^21+Inputs!$B$11*12*(1+Inputs!$B$15)^21+D294*Inputs!$B$12</f>
        <v>44245.2214787803</v>
      </c>
      <c r="E359" s="34" t="n">
        <f aca="false">IF(22&gt;Inputs!$B$7,0,(-PMT(E$268/12,Inputs!$B$7*12,(Inputs!$B$4*(1-Inputs!$B$5)))*12))+E294*Inputs!$B$9+Inputs!$B$10*(1+Inputs!$B$15)^21+Inputs!$B$11*12*(1+Inputs!$B$15)^21+E294*Inputs!$B$12</f>
        <v>45553.5929858248</v>
      </c>
      <c r="F359" s="34" t="n">
        <f aca="false">IF(22&gt;Inputs!$B$7,0,(-PMT(F$268/12,Inputs!$B$7*12,(Inputs!$B$4*(1-Inputs!$B$5)))*12))+F294*Inputs!$B$9+Inputs!$B$10*(1+Inputs!$B$15)^21+Inputs!$B$11*12*(1+Inputs!$B$15)^21+F294*Inputs!$B$12</f>
        <v>46219.5565403769</v>
      </c>
      <c r="G359" s="34" t="n">
        <f aca="false">IF(22&gt;Inputs!$B$7,0,(-PMT(G$268/12,Inputs!$B$7*12,(Inputs!$B$4*(1-Inputs!$B$5)))*12))+G294*Inputs!$B$9+Inputs!$B$10*(1+Inputs!$B$15)^21+Inputs!$B$11*12*(1+Inputs!$B$15)^21+G294*Inputs!$B$12</f>
        <v>46893.1058054521</v>
      </c>
      <c r="H359" s="34" t="n">
        <f aca="false">IF(22&gt;Inputs!$B$7,0,(-PMT(H$268/12,Inputs!$B$7*12,(Inputs!$B$4*(1-Inputs!$B$5)))*12))+H294*Inputs!$B$9+Inputs!$B$10*(1+Inputs!$B$15)^21+Inputs!$B$11*12*(1+Inputs!$B$15)^21+H294*Inputs!$B$12</f>
        <v>48262.1533383055</v>
      </c>
      <c r="I359" s="34" t="n">
        <f aca="false">IF(22&gt;Inputs!$B$7,0,(-PMT(I$268/12,Inputs!$B$7*12,(Inputs!$B$4*(1-Inputs!$B$5)))*12))+I294*Inputs!$B$9+Inputs!$B$10*(1+Inputs!$B$15)^21+Inputs!$B$11*12*(1+Inputs!$B$15)^21+I294*Inputs!$B$12</f>
        <v>49659.1112524121</v>
      </c>
    </row>
    <row r="360" customFormat="false" ht="15" hidden="true" customHeight="true" outlineLevel="0" collapsed="false">
      <c r="B360" s="34" t="n">
        <f aca="false">IF(23&gt;Inputs!$B$7,0,(-PMT(B$268/12,Inputs!$B$7*12,(Inputs!$B$4*(1-Inputs!$B$5)))*12))+B295*Inputs!$B$9+Inputs!$B$10*(1+Inputs!$B$15)^22+Inputs!$B$11*12*(1+Inputs!$B$15)^22+B295*Inputs!$B$12</f>
        <v>42353.8189059225</v>
      </c>
      <c r="C360" s="34" t="n">
        <f aca="false">IF(23&gt;Inputs!$B$7,0,(-PMT(C$268/12,Inputs!$B$7*12,(Inputs!$B$4*(1-Inputs!$B$5)))*12))+C295*Inputs!$B$9+Inputs!$B$10*(1+Inputs!$B$15)^22+Inputs!$B$11*12*(1+Inputs!$B$15)^22+C295*Inputs!$B$12</f>
        <v>43595.242136792</v>
      </c>
      <c r="D360" s="34" t="n">
        <f aca="false">IF(23&gt;Inputs!$B$7,0,(-PMT(D$268/12,Inputs!$B$7*12,(Inputs!$B$4*(1-Inputs!$B$5)))*12))+D295*Inputs!$B$9+Inputs!$B$10*(1+Inputs!$B$15)^22+Inputs!$B$11*12*(1+Inputs!$B$15)^22+D295*Inputs!$B$12</f>
        <v>44870.899932967</v>
      </c>
      <c r="E360" s="34" t="n">
        <f aca="false">IF(23&gt;Inputs!$B$7,0,(-PMT(E$268/12,Inputs!$B$7*12,(Inputs!$B$4*(1-Inputs!$B$5)))*12))+E295*Inputs!$B$9+Inputs!$B$10*(1+Inputs!$B$15)^22+Inputs!$B$11*12*(1+Inputs!$B$15)^22+E295*Inputs!$B$12</f>
        <v>46179.2714400115</v>
      </c>
      <c r="F360" s="34" t="n">
        <f aca="false">IF(23&gt;Inputs!$B$7,0,(-PMT(F$268/12,Inputs!$B$7*12,(Inputs!$B$4*(1-Inputs!$B$5)))*12))+F295*Inputs!$B$9+Inputs!$B$10*(1+Inputs!$B$15)^22+Inputs!$B$11*12*(1+Inputs!$B$15)^22+F295*Inputs!$B$12</f>
        <v>46845.2349945637</v>
      </c>
      <c r="G360" s="34" t="n">
        <f aca="false">IF(23&gt;Inputs!$B$7,0,(-PMT(G$268/12,Inputs!$B$7*12,(Inputs!$B$4*(1-Inputs!$B$5)))*12))+G295*Inputs!$B$9+Inputs!$B$10*(1+Inputs!$B$15)^22+Inputs!$B$11*12*(1+Inputs!$B$15)^22+G295*Inputs!$B$12</f>
        <v>47518.7842596389</v>
      </c>
      <c r="H360" s="34" t="n">
        <f aca="false">IF(23&gt;Inputs!$B$7,0,(-PMT(H$268/12,Inputs!$B$7*12,(Inputs!$B$4*(1-Inputs!$B$5)))*12))+H295*Inputs!$B$9+Inputs!$B$10*(1+Inputs!$B$15)^22+Inputs!$B$11*12*(1+Inputs!$B$15)^22+H295*Inputs!$B$12</f>
        <v>48887.8317924923</v>
      </c>
      <c r="I360" s="34" t="n">
        <f aca="false">IF(23&gt;Inputs!$B$7,0,(-PMT(I$268/12,Inputs!$B$7*12,(Inputs!$B$4*(1-Inputs!$B$5)))*12))+I295*Inputs!$B$9+Inputs!$B$10*(1+Inputs!$B$15)^22+Inputs!$B$11*12*(1+Inputs!$B$15)^22+I295*Inputs!$B$12</f>
        <v>50284.7897065989</v>
      </c>
    </row>
    <row r="361" customFormat="false" ht="15" hidden="true" customHeight="true" outlineLevel="0" collapsed="false">
      <c r="B361" s="34" t="n">
        <f aca="false">IF(24&gt;Inputs!$B$7,0,(-PMT(B$268/12,Inputs!$B$7*12,(Inputs!$B$4*(1-Inputs!$B$5)))*12))+B296*Inputs!$B$9+Inputs!$B$10*(1+Inputs!$B$15)^23+Inputs!$B$11*12*(1+Inputs!$B$15)^23+B296*Inputs!$B$12</f>
        <v>42998.2677137349</v>
      </c>
      <c r="C361" s="34" t="n">
        <f aca="false">IF(24&gt;Inputs!$B$7,0,(-PMT(C$268/12,Inputs!$B$7*12,(Inputs!$B$4*(1-Inputs!$B$5)))*12))+C296*Inputs!$B$9+Inputs!$B$10*(1+Inputs!$B$15)^23+Inputs!$B$11*12*(1+Inputs!$B$15)^23+C296*Inputs!$B$12</f>
        <v>44239.6909446043</v>
      </c>
      <c r="D361" s="34" t="n">
        <f aca="false">IF(24&gt;Inputs!$B$7,0,(-PMT(D$268/12,Inputs!$B$7*12,(Inputs!$B$4*(1-Inputs!$B$5)))*12))+D296*Inputs!$B$9+Inputs!$B$10*(1+Inputs!$B$15)^23+Inputs!$B$11*12*(1+Inputs!$B$15)^23+D296*Inputs!$B$12</f>
        <v>45515.3487407794</v>
      </c>
      <c r="E361" s="34" t="n">
        <f aca="false">IF(24&gt;Inputs!$B$7,0,(-PMT(E$268/12,Inputs!$B$7*12,(Inputs!$B$4*(1-Inputs!$B$5)))*12))+E296*Inputs!$B$9+Inputs!$B$10*(1+Inputs!$B$15)^23+Inputs!$B$11*12*(1+Inputs!$B$15)^23+E296*Inputs!$B$12</f>
        <v>46823.7202478239</v>
      </c>
      <c r="F361" s="34" t="n">
        <f aca="false">IF(24&gt;Inputs!$B$7,0,(-PMT(F$268/12,Inputs!$B$7*12,(Inputs!$B$4*(1-Inputs!$B$5)))*12))+F296*Inputs!$B$9+Inputs!$B$10*(1+Inputs!$B$15)^23+Inputs!$B$11*12*(1+Inputs!$B$15)^23+F296*Inputs!$B$12</f>
        <v>47489.6838023761</v>
      </c>
      <c r="G361" s="34" t="n">
        <f aca="false">IF(24&gt;Inputs!$B$7,0,(-PMT(G$268/12,Inputs!$B$7*12,(Inputs!$B$4*(1-Inputs!$B$5)))*12))+G296*Inputs!$B$9+Inputs!$B$10*(1+Inputs!$B$15)^23+Inputs!$B$11*12*(1+Inputs!$B$15)^23+G296*Inputs!$B$12</f>
        <v>48163.2330674512</v>
      </c>
      <c r="H361" s="34" t="n">
        <f aca="false">IF(24&gt;Inputs!$B$7,0,(-PMT(H$268/12,Inputs!$B$7*12,(Inputs!$B$4*(1-Inputs!$B$5)))*12))+H296*Inputs!$B$9+Inputs!$B$10*(1+Inputs!$B$15)^23+Inputs!$B$11*12*(1+Inputs!$B$15)^23+H296*Inputs!$B$12</f>
        <v>49532.2806003047</v>
      </c>
      <c r="I361" s="34" t="n">
        <f aca="false">IF(24&gt;Inputs!$B$7,0,(-PMT(I$268/12,Inputs!$B$7*12,(Inputs!$B$4*(1-Inputs!$B$5)))*12))+I296*Inputs!$B$9+Inputs!$B$10*(1+Inputs!$B$15)^23+Inputs!$B$11*12*(1+Inputs!$B$15)^23+I296*Inputs!$B$12</f>
        <v>50929.2385144113</v>
      </c>
    </row>
    <row r="362" customFormat="false" ht="15" hidden="true" customHeight="true" outlineLevel="0" collapsed="false">
      <c r="B362" s="34" t="n">
        <f aca="false">IF(25&gt;Inputs!$B$7,0,(-PMT(B$268/12,Inputs!$B$7*12,(Inputs!$B$4*(1-Inputs!$B$5)))*12))+B297*Inputs!$B$9+Inputs!$B$10*(1+Inputs!$B$15)^24+Inputs!$B$11*12*(1+Inputs!$B$15)^24+B297*Inputs!$B$12</f>
        <v>43662.0499857816</v>
      </c>
      <c r="C362" s="34" t="n">
        <f aca="false">IF(25&gt;Inputs!$B$7,0,(-PMT(C$268/12,Inputs!$B$7*12,(Inputs!$B$4*(1-Inputs!$B$5)))*12))+C297*Inputs!$B$9+Inputs!$B$10*(1+Inputs!$B$15)^24+Inputs!$B$11*12*(1+Inputs!$B$15)^24+C297*Inputs!$B$12</f>
        <v>44903.4732166511</v>
      </c>
      <c r="D362" s="34" t="n">
        <f aca="false">IF(25&gt;Inputs!$B$7,0,(-PMT(D$268/12,Inputs!$B$7*12,(Inputs!$B$4*(1-Inputs!$B$5)))*12))+D297*Inputs!$B$9+Inputs!$B$10*(1+Inputs!$B$15)^24+Inputs!$B$11*12*(1+Inputs!$B$15)^24+D297*Inputs!$B$12</f>
        <v>46179.1310128261</v>
      </c>
      <c r="E362" s="34" t="n">
        <f aca="false">IF(25&gt;Inputs!$B$7,0,(-PMT(E$268/12,Inputs!$B$7*12,(Inputs!$B$4*(1-Inputs!$B$5)))*12))+E297*Inputs!$B$9+Inputs!$B$10*(1+Inputs!$B$15)^24+Inputs!$B$11*12*(1+Inputs!$B$15)^24+E297*Inputs!$B$12</f>
        <v>47487.5025198706</v>
      </c>
      <c r="F362" s="34" t="n">
        <f aca="false">IF(25&gt;Inputs!$B$7,0,(-PMT(F$268/12,Inputs!$B$7*12,(Inputs!$B$4*(1-Inputs!$B$5)))*12))+F297*Inputs!$B$9+Inputs!$B$10*(1+Inputs!$B$15)^24+Inputs!$B$11*12*(1+Inputs!$B$15)^24+F297*Inputs!$B$12</f>
        <v>48153.4660744228</v>
      </c>
      <c r="G362" s="34" t="n">
        <f aca="false">IF(25&gt;Inputs!$B$7,0,(-PMT(G$268/12,Inputs!$B$7*12,(Inputs!$B$4*(1-Inputs!$B$5)))*12))+G297*Inputs!$B$9+Inputs!$B$10*(1+Inputs!$B$15)^24+Inputs!$B$11*12*(1+Inputs!$B$15)^24+G297*Inputs!$B$12</f>
        <v>48827.015339498</v>
      </c>
      <c r="H362" s="34" t="n">
        <f aca="false">IF(25&gt;Inputs!$B$7,0,(-PMT(H$268/12,Inputs!$B$7*12,(Inputs!$B$4*(1-Inputs!$B$5)))*12))+H297*Inputs!$B$9+Inputs!$B$10*(1+Inputs!$B$15)^24+Inputs!$B$11*12*(1+Inputs!$B$15)^24+H297*Inputs!$B$12</f>
        <v>50196.0628723514</v>
      </c>
      <c r="I362" s="34" t="n">
        <f aca="false">IF(25&gt;Inputs!$B$7,0,(-PMT(I$268/12,Inputs!$B$7*12,(Inputs!$B$4*(1-Inputs!$B$5)))*12))+I297*Inputs!$B$9+Inputs!$B$10*(1+Inputs!$B$15)^24+Inputs!$B$11*12*(1+Inputs!$B$15)^24+I297*Inputs!$B$12</f>
        <v>51593.020786458</v>
      </c>
    </row>
    <row r="363" customFormat="false" ht="15" hidden="true" customHeight="true" outlineLevel="0" collapsed="false">
      <c r="B363" s="34" t="n">
        <f aca="false">IF(26&gt;Inputs!$B$7,0,(-PMT(B$268/12,Inputs!$B$7*12,(Inputs!$B$4*(1-Inputs!$B$5)))*12))+B298*Inputs!$B$9+Inputs!$B$10*(1+Inputs!$B$15)^25+Inputs!$B$11*12*(1+Inputs!$B$15)^25+B298*Inputs!$B$12</f>
        <v>44345.7457259898</v>
      </c>
      <c r="C363" s="34" t="n">
        <f aca="false">IF(26&gt;Inputs!$B$7,0,(-PMT(C$268/12,Inputs!$B$7*12,(Inputs!$B$4*(1-Inputs!$B$5)))*12))+C298*Inputs!$B$9+Inputs!$B$10*(1+Inputs!$B$15)^25+Inputs!$B$11*12*(1+Inputs!$B$15)^25+C298*Inputs!$B$12</f>
        <v>45587.1689568592</v>
      </c>
      <c r="D363" s="34" t="n">
        <f aca="false">IF(26&gt;Inputs!$B$7,0,(-PMT(D$268/12,Inputs!$B$7*12,(Inputs!$B$4*(1-Inputs!$B$5)))*12))+D298*Inputs!$B$9+Inputs!$B$10*(1+Inputs!$B$15)^25+Inputs!$B$11*12*(1+Inputs!$B$15)^25+D298*Inputs!$B$12</f>
        <v>46862.8267530343</v>
      </c>
      <c r="E363" s="34" t="n">
        <f aca="false">IF(26&gt;Inputs!$B$7,0,(-PMT(E$268/12,Inputs!$B$7*12,(Inputs!$B$4*(1-Inputs!$B$5)))*12))+E298*Inputs!$B$9+Inputs!$B$10*(1+Inputs!$B$15)^25+Inputs!$B$11*12*(1+Inputs!$B$15)^25+E298*Inputs!$B$12</f>
        <v>48171.1982600788</v>
      </c>
      <c r="F363" s="34" t="n">
        <f aca="false">IF(26&gt;Inputs!$B$7,0,(-PMT(F$268/12,Inputs!$B$7*12,(Inputs!$B$4*(1-Inputs!$B$5)))*12))+F298*Inputs!$B$9+Inputs!$B$10*(1+Inputs!$B$15)^25+Inputs!$B$11*12*(1+Inputs!$B$15)^25+F298*Inputs!$B$12</f>
        <v>48837.161814631</v>
      </c>
      <c r="G363" s="34" t="n">
        <f aca="false">IF(26&gt;Inputs!$B$7,0,(-PMT(G$268/12,Inputs!$B$7*12,(Inputs!$B$4*(1-Inputs!$B$5)))*12))+G298*Inputs!$B$9+Inputs!$B$10*(1+Inputs!$B$15)^25+Inputs!$B$11*12*(1+Inputs!$B$15)^25+G298*Inputs!$B$12</f>
        <v>49510.7110797061</v>
      </c>
      <c r="H363" s="34" t="n">
        <f aca="false">IF(26&gt;Inputs!$B$7,0,(-PMT(H$268/12,Inputs!$B$7*12,(Inputs!$B$4*(1-Inputs!$B$5)))*12))+H298*Inputs!$B$9+Inputs!$B$10*(1+Inputs!$B$15)^25+Inputs!$B$11*12*(1+Inputs!$B$15)^25+H298*Inputs!$B$12</f>
        <v>50879.7586125596</v>
      </c>
      <c r="I363" s="34" t="n">
        <f aca="false">IF(26&gt;Inputs!$B$7,0,(-PMT(I$268/12,Inputs!$B$7*12,(Inputs!$B$4*(1-Inputs!$B$5)))*12))+I298*Inputs!$B$9+Inputs!$B$10*(1+Inputs!$B$15)^25+Inputs!$B$11*12*(1+Inputs!$B$15)^25+I298*Inputs!$B$12</f>
        <v>52276.7165266662</v>
      </c>
    </row>
    <row r="364" customFormat="false" ht="15" hidden="true" customHeight="true" outlineLevel="0" collapsed="false">
      <c r="B364" s="34" t="n">
        <f aca="false">IF(27&gt;Inputs!$B$7,0,(-PMT(B$268/12,Inputs!$B$7*12,(Inputs!$B$4*(1-Inputs!$B$5)))*12))+B299*Inputs!$B$9+Inputs!$B$10*(1+Inputs!$B$15)^26+Inputs!$B$11*12*(1+Inputs!$B$15)^26+B299*Inputs!$B$12</f>
        <v>45049.9523384042</v>
      </c>
      <c r="C364" s="34" t="n">
        <f aca="false">IF(27&gt;Inputs!$B$7,0,(-PMT(C$268/12,Inputs!$B$7*12,(Inputs!$B$4*(1-Inputs!$B$5)))*12))+C299*Inputs!$B$9+Inputs!$B$10*(1+Inputs!$B$15)^26+Inputs!$B$11*12*(1+Inputs!$B$15)^26+C299*Inputs!$B$12</f>
        <v>46291.3755692736</v>
      </c>
      <c r="D364" s="34" t="n">
        <f aca="false">IF(27&gt;Inputs!$B$7,0,(-PMT(D$268/12,Inputs!$B$7*12,(Inputs!$B$4*(1-Inputs!$B$5)))*12))+D299*Inputs!$B$9+Inputs!$B$10*(1+Inputs!$B$15)^26+Inputs!$B$11*12*(1+Inputs!$B$15)^26+D299*Inputs!$B$12</f>
        <v>47567.0333654487</v>
      </c>
      <c r="E364" s="34" t="n">
        <f aca="false">IF(27&gt;Inputs!$B$7,0,(-PMT(E$268/12,Inputs!$B$7*12,(Inputs!$B$4*(1-Inputs!$B$5)))*12))+E299*Inputs!$B$9+Inputs!$B$10*(1+Inputs!$B$15)^26+Inputs!$B$11*12*(1+Inputs!$B$15)^26+E299*Inputs!$B$12</f>
        <v>48875.4048724932</v>
      </c>
      <c r="F364" s="34" t="n">
        <f aca="false">IF(27&gt;Inputs!$B$7,0,(-PMT(F$268/12,Inputs!$B$7*12,(Inputs!$B$4*(1-Inputs!$B$5)))*12))+F299*Inputs!$B$9+Inputs!$B$10*(1+Inputs!$B$15)^26+Inputs!$B$11*12*(1+Inputs!$B$15)^26+F299*Inputs!$B$12</f>
        <v>49541.3684270454</v>
      </c>
      <c r="G364" s="34" t="n">
        <f aca="false">IF(27&gt;Inputs!$B$7,0,(-PMT(G$268/12,Inputs!$B$7*12,(Inputs!$B$4*(1-Inputs!$B$5)))*12))+G299*Inputs!$B$9+Inputs!$B$10*(1+Inputs!$B$15)^26+Inputs!$B$11*12*(1+Inputs!$B$15)^26+G299*Inputs!$B$12</f>
        <v>50214.9176921205</v>
      </c>
      <c r="H364" s="34" t="n">
        <f aca="false">IF(27&gt;Inputs!$B$7,0,(-PMT(H$268/12,Inputs!$B$7*12,(Inputs!$B$4*(1-Inputs!$B$5)))*12))+H299*Inputs!$B$9+Inputs!$B$10*(1+Inputs!$B$15)^26+Inputs!$B$11*12*(1+Inputs!$B$15)^26+H299*Inputs!$B$12</f>
        <v>51583.965224974</v>
      </c>
      <c r="I364" s="34" t="n">
        <f aca="false">IF(27&gt;Inputs!$B$7,0,(-PMT(I$268/12,Inputs!$B$7*12,(Inputs!$B$4*(1-Inputs!$B$5)))*12))+I299*Inputs!$B$9+Inputs!$B$10*(1+Inputs!$B$15)^26+Inputs!$B$11*12*(1+Inputs!$B$15)^26+I299*Inputs!$B$12</f>
        <v>52980.9231390805</v>
      </c>
    </row>
    <row r="365" customFormat="false" ht="15" hidden="true" customHeight="true" outlineLevel="0" collapsed="false">
      <c r="B365" s="34" t="n">
        <f aca="false">IF(28&gt;Inputs!$B$7,0,(-PMT(B$268/12,Inputs!$B$7*12,(Inputs!$B$4*(1-Inputs!$B$5)))*12))+B300*Inputs!$B$9+Inputs!$B$10*(1+Inputs!$B$15)^27+Inputs!$B$11*12*(1+Inputs!$B$15)^27+B300*Inputs!$B$12</f>
        <v>45775.285149191</v>
      </c>
      <c r="C365" s="34" t="n">
        <f aca="false">IF(28&gt;Inputs!$B$7,0,(-PMT(C$268/12,Inputs!$B$7*12,(Inputs!$B$4*(1-Inputs!$B$5)))*12))+C300*Inputs!$B$9+Inputs!$B$10*(1+Inputs!$B$15)^27+Inputs!$B$11*12*(1+Inputs!$B$15)^27+C300*Inputs!$B$12</f>
        <v>47016.7083800604</v>
      </c>
      <c r="D365" s="34" t="n">
        <f aca="false">IF(28&gt;Inputs!$B$7,0,(-PMT(D$268/12,Inputs!$B$7*12,(Inputs!$B$4*(1-Inputs!$B$5)))*12))+D300*Inputs!$B$9+Inputs!$B$10*(1+Inputs!$B$15)^27+Inputs!$B$11*12*(1+Inputs!$B$15)^27+D300*Inputs!$B$12</f>
        <v>48292.3661762355</v>
      </c>
      <c r="E365" s="34" t="n">
        <f aca="false">IF(28&gt;Inputs!$B$7,0,(-PMT(E$268/12,Inputs!$B$7*12,(Inputs!$B$4*(1-Inputs!$B$5)))*12))+E300*Inputs!$B$9+Inputs!$B$10*(1+Inputs!$B$15)^27+Inputs!$B$11*12*(1+Inputs!$B$15)^27+E300*Inputs!$B$12</f>
        <v>49600.73768328</v>
      </c>
      <c r="F365" s="34" t="n">
        <f aca="false">IF(28&gt;Inputs!$B$7,0,(-PMT(F$268/12,Inputs!$B$7*12,(Inputs!$B$4*(1-Inputs!$B$5)))*12))+F300*Inputs!$B$9+Inputs!$B$10*(1+Inputs!$B$15)^27+Inputs!$B$11*12*(1+Inputs!$B$15)^27+F300*Inputs!$B$12</f>
        <v>50266.7012378322</v>
      </c>
      <c r="G365" s="34" t="n">
        <f aca="false">IF(28&gt;Inputs!$B$7,0,(-PMT(G$268/12,Inputs!$B$7*12,(Inputs!$B$4*(1-Inputs!$B$5)))*12))+G300*Inputs!$B$9+Inputs!$B$10*(1+Inputs!$B$15)^27+Inputs!$B$11*12*(1+Inputs!$B$15)^27+G300*Inputs!$B$12</f>
        <v>50940.2505029073</v>
      </c>
      <c r="H365" s="34" t="n">
        <f aca="false">IF(28&gt;Inputs!$B$7,0,(-PMT(H$268/12,Inputs!$B$7*12,(Inputs!$B$4*(1-Inputs!$B$5)))*12))+H300*Inputs!$B$9+Inputs!$B$10*(1+Inputs!$B$15)^27+Inputs!$B$11*12*(1+Inputs!$B$15)^27+H300*Inputs!$B$12</f>
        <v>52309.2980357608</v>
      </c>
      <c r="I365" s="34" t="n">
        <f aca="false">IF(28&gt;Inputs!$B$7,0,(-PMT(I$268/12,Inputs!$B$7*12,(Inputs!$B$4*(1-Inputs!$B$5)))*12))+I300*Inputs!$B$9+Inputs!$B$10*(1+Inputs!$B$15)^27+Inputs!$B$11*12*(1+Inputs!$B$15)^27+I300*Inputs!$B$12</f>
        <v>53706.2559498674</v>
      </c>
    </row>
    <row r="366" customFormat="false" ht="15" hidden="true" customHeight="true" outlineLevel="0" collapsed="false">
      <c r="B366" s="34" t="n">
        <f aca="false">IF(29&gt;Inputs!$B$7,0,(-PMT(B$268/12,Inputs!$B$7*12,(Inputs!$B$4*(1-Inputs!$B$5)))*12))+B301*Inputs!$B$9+Inputs!$B$10*(1+Inputs!$B$15)^28+Inputs!$B$11*12*(1+Inputs!$B$15)^28+B301*Inputs!$B$12</f>
        <v>46522.3779443014</v>
      </c>
      <c r="C366" s="34" t="n">
        <f aca="false">IF(29&gt;Inputs!$B$7,0,(-PMT(C$268/12,Inputs!$B$7*12,(Inputs!$B$4*(1-Inputs!$B$5)))*12))+C301*Inputs!$B$9+Inputs!$B$10*(1+Inputs!$B$15)^28+Inputs!$B$11*12*(1+Inputs!$B$15)^28+C301*Inputs!$B$12</f>
        <v>47763.8011751709</v>
      </c>
      <c r="D366" s="34" t="n">
        <f aca="false">IF(29&gt;Inputs!$B$7,0,(-PMT(D$268/12,Inputs!$B$7*12,(Inputs!$B$4*(1-Inputs!$B$5)))*12))+D301*Inputs!$B$9+Inputs!$B$10*(1+Inputs!$B$15)^28+Inputs!$B$11*12*(1+Inputs!$B$15)^28+D301*Inputs!$B$12</f>
        <v>49039.4589713459</v>
      </c>
      <c r="E366" s="34" t="n">
        <f aca="false">IF(29&gt;Inputs!$B$7,0,(-PMT(E$268/12,Inputs!$B$7*12,(Inputs!$B$4*(1-Inputs!$B$5)))*12))+E301*Inputs!$B$9+Inputs!$B$10*(1+Inputs!$B$15)^28+Inputs!$B$11*12*(1+Inputs!$B$15)^28+E301*Inputs!$B$12</f>
        <v>50347.8304783904</v>
      </c>
      <c r="F366" s="34" t="n">
        <f aca="false">IF(29&gt;Inputs!$B$7,0,(-PMT(F$268/12,Inputs!$B$7*12,(Inputs!$B$4*(1-Inputs!$B$5)))*12))+F301*Inputs!$B$9+Inputs!$B$10*(1+Inputs!$B$15)^28+Inputs!$B$11*12*(1+Inputs!$B$15)^28+F301*Inputs!$B$12</f>
        <v>51013.7940329426</v>
      </c>
      <c r="G366" s="34" t="n">
        <f aca="false">IF(29&gt;Inputs!$B$7,0,(-PMT(G$268/12,Inputs!$B$7*12,(Inputs!$B$4*(1-Inputs!$B$5)))*12))+G301*Inputs!$B$9+Inputs!$B$10*(1+Inputs!$B$15)^28+Inputs!$B$11*12*(1+Inputs!$B$15)^28+G301*Inputs!$B$12</f>
        <v>51687.3432980178</v>
      </c>
      <c r="H366" s="34" t="n">
        <f aca="false">IF(29&gt;Inputs!$B$7,0,(-PMT(H$268/12,Inputs!$B$7*12,(Inputs!$B$4*(1-Inputs!$B$5)))*12))+H301*Inputs!$B$9+Inputs!$B$10*(1+Inputs!$B$15)^28+Inputs!$B$11*12*(1+Inputs!$B$15)^28+H301*Inputs!$B$12</f>
        <v>53056.3908308712</v>
      </c>
      <c r="I366" s="34" t="n">
        <f aca="false">IF(29&gt;Inputs!$B$7,0,(-PMT(I$268/12,Inputs!$B$7*12,(Inputs!$B$4*(1-Inputs!$B$5)))*12))+I301*Inputs!$B$9+Inputs!$B$10*(1+Inputs!$B$15)^28+Inputs!$B$11*12*(1+Inputs!$B$15)^28+I301*Inputs!$B$12</f>
        <v>54453.3487449778</v>
      </c>
    </row>
    <row r="367" customFormat="false" ht="15" hidden="true" customHeight="true" outlineLevel="0" collapsed="false">
      <c r="B367" s="34" t="n">
        <f aca="false">IF(30&gt;Inputs!$B$7,0,(-PMT(B$268/12,Inputs!$B$7*12,(Inputs!$B$4*(1-Inputs!$B$5)))*12))+B302*Inputs!$B$9+Inputs!$B$10*(1+Inputs!$B$15)^29+Inputs!$B$11*12*(1+Inputs!$B$15)^29+B302*Inputs!$B$12</f>
        <v>47291.8835232652</v>
      </c>
      <c r="C367" s="34" t="n">
        <f aca="false">IF(30&gt;Inputs!$B$7,0,(-PMT(C$268/12,Inputs!$B$7*12,(Inputs!$B$4*(1-Inputs!$B$5)))*12))+C302*Inputs!$B$9+Inputs!$B$10*(1+Inputs!$B$15)^29+Inputs!$B$11*12*(1+Inputs!$B$15)^29+C302*Inputs!$B$12</f>
        <v>48533.3067541346</v>
      </c>
      <c r="D367" s="34" t="n">
        <f aca="false">IF(30&gt;Inputs!$B$7,0,(-PMT(D$268/12,Inputs!$B$7*12,(Inputs!$B$4*(1-Inputs!$B$5)))*12))+D302*Inputs!$B$9+Inputs!$B$10*(1+Inputs!$B$15)^29+Inputs!$B$11*12*(1+Inputs!$B$15)^29+D302*Inputs!$B$12</f>
        <v>49808.9645503097</v>
      </c>
      <c r="E367" s="34" t="n">
        <f aca="false">IF(30&gt;Inputs!$B$7,0,(-PMT(E$268/12,Inputs!$B$7*12,(Inputs!$B$4*(1-Inputs!$B$5)))*12))+E302*Inputs!$B$9+Inputs!$B$10*(1+Inputs!$B$15)^29+Inputs!$B$11*12*(1+Inputs!$B$15)^29+E302*Inputs!$B$12</f>
        <v>51117.3360573542</v>
      </c>
      <c r="F367" s="34" t="n">
        <f aca="false">IF(30&gt;Inputs!$B$7,0,(-PMT(F$268/12,Inputs!$B$7*12,(Inputs!$B$4*(1-Inputs!$B$5)))*12))+F302*Inputs!$B$9+Inputs!$B$10*(1+Inputs!$B$15)^29+Inputs!$B$11*12*(1+Inputs!$B$15)^29+F302*Inputs!$B$12</f>
        <v>51783.2996119064</v>
      </c>
      <c r="G367" s="34" t="n">
        <f aca="false">IF(30&gt;Inputs!$B$7,0,(-PMT(G$268/12,Inputs!$B$7*12,(Inputs!$B$4*(1-Inputs!$B$5)))*12))+G302*Inputs!$B$9+Inputs!$B$10*(1+Inputs!$B$15)^29+Inputs!$B$11*12*(1+Inputs!$B$15)^29+G302*Inputs!$B$12</f>
        <v>52456.8488769815</v>
      </c>
      <c r="H367" s="34" t="n">
        <f aca="false">IF(30&gt;Inputs!$B$7,0,(-PMT(H$268/12,Inputs!$B$7*12,(Inputs!$B$4*(1-Inputs!$B$5)))*12))+H302*Inputs!$B$9+Inputs!$B$10*(1+Inputs!$B$15)^29+Inputs!$B$11*12*(1+Inputs!$B$15)^29+H302*Inputs!$B$12</f>
        <v>53825.896409835</v>
      </c>
      <c r="I367" s="34" t="n">
        <f aca="false">IF(30&gt;Inputs!$B$7,0,(-PMT(I$268/12,Inputs!$B$7*12,(Inputs!$B$4*(1-Inputs!$B$5)))*12))+I302*Inputs!$B$9+Inputs!$B$10*(1+Inputs!$B$15)^29+Inputs!$B$11*12*(1+Inputs!$B$15)^29+I302*Inputs!$B$12</f>
        <v>55222.8543239415</v>
      </c>
    </row>
    <row r="368" customFormat="false" ht="15" hidden="true" customHeight="true" outlineLevel="0" collapsed="false"/>
    <row r="369" customFormat="false" ht="15" hidden="true" customHeight="true" outlineLevel="0" collapsed="false">
      <c r="A369" s="33" t="s">
        <v>94</v>
      </c>
      <c r="B369" s="34" t="n">
        <v>0</v>
      </c>
      <c r="C369" s="34" t="n">
        <v>0</v>
      </c>
      <c r="D369" s="34" t="n">
        <v>0</v>
      </c>
      <c r="E369" s="34" t="n">
        <v>0</v>
      </c>
      <c r="F369" s="34" t="n">
        <v>0</v>
      </c>
      <c r="G369" s="34" t="n">
        <v>0</v>
      </c>
      <c r="H369" s="34" t="n">
        <v>0</v>
      </c>
      <c r="I369" s="34" t="n">
        <v>0</v>
      </c>
    </row>
    <row r="370" customFormat="false" ht="15" hidden="true" customHeight="true" outlineLevel="0" collapsed="false">
      <c r="B370" s="34" t="n">
        <f aca="false">Inputs!$B$18*12*(1+Inputs!$B$19)^0+Inputs!$B$20*(1+Inputs!$B$15)^0</f>
        <v>27718</v>
      </c>
      <c r="C370" s="34" t="n">
        <f aca="false">Inputs!$B$18*12*(1+Inputs!$B$19)^0+Inputs!$B$20*(1+Inputs!$B$15)^0</f>
        <v>27718</v>
      </c>
      <c r="D370" s="34" t="n">
        <f aca="false">Inputs!$B$18*12*(1+Inputs!$B$19)^0+Inputs!$B$20*(1+Inputs!$B$15)^0</f>
        <v>27718</v>
      </c>
      <c r="E370" s="34" t="n">
        <f aca="false">Inputs!$B$18*12*(1+Inputs!$B$19)^0+Inputs!$B$20*(1+Inputs!$B$15)^0</f>
        <v>27718</v>
      </c>
      <c r="F370" s="34" t="n">
        <f aca="false">Inputs!$B$18*12*(1+Inputs!$B$19)^0+Inputs!$B$20*(1+Inputs!$B$15)^0</f>
        <v>27718</v>
      </c>
      <c r="G370" s="34" t="n">
        <f aca="false">Inputs!$B$18*12*(1+Inputs!$B$19)^0+Inputs!$B$20*(1+Inputs!$B$15)^0</f>
        <v>27718</v>
      </c>
      <c r="H370" s="34" t="n">
        <f aca="false">Inputs!$B$18*12*(1+Inputs!$B$19)^0+Inputs!$B$20*(1+Inputs!$B$15)^0</f>
        <v>27718</v>
      </c>
      <c r="I370" s="34" t="n">
        <f aca="false">Inputs!$B$18*12*(1+Inputs!$B$19)^0+Inputs!$B$20*(1+Inputs!$B$15)^0</f>
        <v>27718</v>
      </c>
    </row>
    <row r="371" customFormat="false" ht="15" hidden="true" customHeight="true" outlineLevel="0" collapsed="false">
      <c r="B371" s="34" t="n">
        <f aca="false">Inputs!$B$18*12*(1+Inputs!$B$19)^1+Inputs!$B$20*(1+Inputs!$B$15)^1</f>
        <v>28549.54</v>
      </c>
      <c r="C371" s="34" t="n">
        <f aca="false">Inputs!$B$18*12*(1+Inputs!$B$19)^1+Inputs!$B$20*(1+Inputs!$B$15)^1</f>
        <v>28549.54</v>
      </c>
      <c r="D371" s="34" t="n">
        <f aca="false">Inputs!$B$18*12*(1+Inputs!$B$19)^1+Inputs!$B$20*(1+Inputs!$B$15)^1</f>
        <v>28549.54</v>
      </c>
      <c r="E371" s="34" t="n">
        <f aca="false">Inputs!$B$18*12*(1+Inputs!$B$19)^1+Inputs!$B$20*(1+Inputs!$B$15)^1</f>
        <v>28549.54</v>
      </c>
      <c r="F371" s="34" t="n">
        <f aca="false">Inputs!$B$18*12*(1+Inputs!$B$19)^1+Inputs!$B$20*(1+Inputs!$B$15)^1</f>
        <v>28549.54</v>
      </c>
      <c r="G371" s="34" t="n">
        <f aca="false">Inputs!$B$18*12*(1+Inputs!$B$19)^1+Inputs!$B$20*(1+Inputs!$B$15)^1</f>
        <v>28549.54</v>
      </c>
      <c r="H371" s="34" t="n">
        <f aca="false">Inputs!$B$18*12*(1+Inputs!$B$19)^1+Inputs!$B$20*(1+Inputs!$B$15)^1</f>
        <v>28549.54</v>
      </c>
      <c r="I371" s="34" t="n">
        <f aca="false">Inputs!$B$18*12*(1+Inputs!$B$19)^1+Inputs!$B$20*(1+Inputs!$B$15)^1</f>
        <v>28549.54</v>
      </c>
    </row>
    <row r="372" customFormat="false" ht="15" hidden="true" customHeight="true" outlineLevel="0" collapsed="false">
      <c r="B372" s="34" t="n">
        <f aca="false">Inputs!$B$18*12*(1+Inputs!$B$19)^2+Inputs!$B$20*(1+Inputs!$B$15)^2</f>
        <v>29406.0262</v>
      </c>
      <c r="C372" s="34" t="n">
        <f aca="false">Inputs!$B$18*12*(1+Inputs!$B$19)^2+Inputs!$B$20*(1+Inputs!$B$15)^2</f>
        <v>29406.0262</v>
      </c>
      <c r="D372" s="34" t="n">
        <f aca="false">Inputs!$B$18*12*(1+Inputs!$B$19)^2+Inputs!$B$20*(1+Inputs!$B$15)^2</f>
        <v>29406.0262</v>
      </c>
      <c r="E372" s="34" t="n">
        <f aca="false">Inputs!$B$18*12*(1+Inputs!$B$19)^2+Inputs!$B$20*(1+Inputs!$B$15)^2</f>
        <v>29406.0262</v>
      </c>
      <c r="F372" s="34" t="n">
        <f aca="false">Inputs!$B$18*12*(1+Inputs!$B$19)^2+Inputs!$B$20*(1+Inputs!$B$15)^2</f>
        <v>29406.0262</v>
      </c>
      <c r="G372" s="34" t="n">
        <f aca="false">Inputs!$B$18*12*(1+Inputs!$B$19)^2+Inputs!$B$20*(1+Inputs!$B$15)^2</f>
        <v>29406.0262</v>
      </c>
      <c r="H372" s="34" t="n">
        <f aca="false">Inputs!$B$18*12*(1+Inputs!$B$19)^2+Inputs!$B$20*(1+Inputs!$B$15)^2</f>
        <v>29406.0262</v>
      </c>
      <c r="I372" s="34" t="n">
        <f aca="false">Inputs!$B$18*12*(1+Inputs!$B$19)^2+Inputs!$B$20*(1+Inputs!$B$15)^2</f>
        <v>29406.0262</v>
      </c>
    </row>
    <row r="373" customFormat="false" ht="15" hidden="true" customHeight="true" outlineLevel="0" collapsed="false">
      <c r="B373" s="34" t="n">
        <f aca="false">Inputs!$B$18*12*(1+Inputs!$B$19)^3+Inputs!$B$20*(1+Inputs!$B$15)^3</f>
        <v>30288.206986</v>
      </c>
      <c r="C373" s="34" t="n">
        <f aca="false">Inputs!$B$18*12*(1+Inputs!$B$19)^3+Inputs!$B$20*(1+Inputs!$B$15)^3</f>
        <v>30288.206986</v>
      </c>
      <c r="D373" s="34" t="n">
        <f aca="false">Inputs!$B$18*12*(1+Inputs!$B$19)^3+Inputs!$B$20*(1+Inputs!$B$15)^3</f>
        <v>30288.206986</v>
      </c>
      <c r="E373" s="34" t="n">
        <f aca="false">Inputs!$B$18*12*(1+Inputs!$B$19)^3+Inputs!$B$20*(1+Inputs!$B$15)^3</f>
        <v>30288.206986</v>
      </c>
      <c r="F373" s="34" t="n">
        <f aca="false">Inputs!$B$18*12*(1+Inputs!$B$19)^3+Inputs!$B$20*(1+Inputs!$B$15)^3</f>
        <v>30288.206986</v>
      </c>
      <c r="G373" s="34" t="n">
        <f aca="false">Inputs!$B$18*12*(1+Inputs!$B$19)^3+Inputs!$B$20*(1+Inputs!$B$15)^3</f>
        <v>30288.206986</v>
      </c>
      <c r="H373" s="34" t="n">
        <f aca="false">Inputs!$B$18*12*(1+Inputs!$B$19)^3+Inputs!$B$20*(1+Inputs!$B$15)^3</f>
        <v>30288.206986</v>
      </c>
      <c r="I373" s="34" t="n">
        <f aca="false">Inputs!$B$18*12*(1+Inputs!$B$19)^3+Inputs!$B$20*(1+Inputs!$B$15)^3</f>
        <v>30288.206986</v>
      </c>
    </row>
    <row r="374" customFormat="false" ht="15" hidden="true" customHeight="true" outlineLevel="0" collapsed="false">
      <c r="B374" s="34" t="n">
        <f aca="false">Inputs!$B$18*12*(1+Inputs!$B$19)^4+Inputs!$B$20*(1+Inputs!$B$15)^4</f>
        <v>31196.85319558</v>
      </c>
      <c r="C374" s="34" t="n">
        <f aca="false">Inputs!$B$18*12*(1+Inputs!$B$19)^4+Inputs!$B$20*(1+Inputs!$B$15)^4</f>
        <v>31196.85319558</v>
      </c>
      <c r="D374" s="34" t="n">
        <f aca="false">Inputs!$B$18*12*(1+Inputs!$B$19)^4+Inputs!$B$20*(1+Inputs!$B$15)^4</f>
        <v>31196.85319558</v>
      </c>
      <c r="E374" s="34" t="n">
        <f aca="false">Inputs!$B$18*12*(1+Inputs!$B$19)^4+Inputs!$B$20*(1+Inputs!$B$15)^4</f>
        <v>31196.85319558</v>
      </c>
      <c r="F374" s="34" t="n">
        <f aca="false">Inputs!$B$18*12*(1+Inputs!$B$19)^4+Inputs!$B$20*(1+Inputs!$B$15)^4</f>
        <v>31196.85319558</v>
      </c>
      <c r="G374" s="34" t="n">
        <f aca="false">Inputs!$B$18*12*(1+Inputs!$B$19)^4+Inputs!$B$20*(1+Inputs!$B$15)^4</f>
        <v>31196.85319558</v>
      </c>
      <c r="H374" s="34" t="n">
        <f aca="false">Inputs!$B$18*12*(1+Inputs!$B$19)^4+Inputs!$B$20*(1+Inputs!$B$15)^4</f>
        <v>31196.85319558</v>
      </c>
      <c r="I374" s="34" t="n">
        <f aca="false">Inputs!$B$18*12*(1+Inputs!$B$19)^4+Inputs!$B$20*(1+Inputs!$B$15)^4</f>
        <v>31196.85319558</v>
      </c>
    </row>
    <row r="375" customFormat="false" ht="15" hidden="true" customHeight="true" outlineLevel="0" collapsed="false">
      <c r="B375" s="34" t="n">
        <f aca="false">Inputs!$B$18*12*(1+Inputs!$B$19)^5+Inputs!$B$20*(1+Inputs!$B$15)^5</f>
        <v>32132.7587914474</v>
      </c>
      <c r="C375" s="34" t="n">
        <f aca="false">Inputs!$B$18*12*(1+Inputs!$B$19)^5+Inputs!$B$20*(1+Inputs!$B$15)^5</f>
        <v>32132.7587914474</v>
      </c>
      <c r="D375" s="34" t="n">
        <f aca="false">Inputs!$B$18*12*(1+Inputs!$B$19)^5+Inputs!$B$20*(1+Inputs!$B$15)^5</f>
        <v>32132.7587914474</v>
      </c>
      <c r="E375" s="34" t="n">
        <f aca="false">Inputs!$B$18*12*(1+Inputs!$B$19)^5+Inputs!$B$20*(1+Inputs!$B$15)^5</f>
        <v>32132.7587914474</v>
      </c>
      <c r="F375" s="34" t="n">
        <f aca="false">Inputs!$B$18*12*(1+Inputs!$B$19)^5+Inputs!$B$20*(1+Inputs!$B$15)^5</f>
        <v>32132.7587914474</v>
      </c>
      <c r="G375" s="34" t="n">
        <f aca="false">Inputs!$B$18*12*(1+Inputs!$B$19)^5+Inputs!$B$20*(1+Inputs!$B$15)^5</f>
        <v>32132.7587914474</v>
      </c>
      <c r="H375" s="34" t="n">
        <f aca="false">Inputs!$B$18*12*(1+Inputs!$B$19)^5+Inputs!$B$20*(1+Inputs!$B$15)^5</f>
        <v>32132.7587914474</v>
      </c>
      <c r="I375" s="34" t="n">
        <f aca="false">Inputs!$B$18*12*(1+Inputs!$B$19)^5+Inputs!$B$20*(1+Inputs!$B$15)^5</f>
        <v>32132.7587914474</v>
      </c>
    </row>
    <row r="376" customFormat="false" ht="15" hidden="true" customHeight="true" outlineLevel="0" collapsed="false">
      <c r="B376" s="34" t="n">
        <f aca="false">Inputs!$B$18*12*(1+Inputs!$B$19)^6+Inputs!$B$20*(1+Inputs!$B$15)^6</f>
        <v>33096.7415551908</v>
      </c>
      <c r="C376" s="34" t="n">
        <f aca="false">Inputs!$B$18*12*(1+Inputs!$B$19)^6+Inputs!$B$20*(1+Inputs!$B$15)^6</f>
        <v>33096.7415551908</v>
      </c>
      <c r="D376" s="34" t="n">
        <f aca="false">Inputs!$B$18*12*(1+Inputs!$B$19)^6+Inputs!$B$20*(1+Inputs!$B$15)^6</f>
        <v>33096.7415551908</v>
      </c>
      <c r="E376" s="34" t="n">
        <f aca="false">Inputs!$B$18*12*(1+Inputs!$B$19)^6+Inputs!$B$20*(1+Inputs!$B$15)^6</f>
        <v>33096.7415551908</v>
      </c>
      <c r="F376" s="34" t="n">
        <f aca="false">Inputs!$B$18*12*(1+Inputs!$B$19)^6+Inputs!$B$20*(1+Inputs!$B$15)^6</f>
        <v>33096.7415551908</v>
      </c>
      <c r="G376" s="34" t="n">
        <f aca="false">Inputs!$B$18*12*(1+Inputs!$B$19)^6+Inputs!$B$20*(1+Inputs!$B$15)^6</f>
        <v>33096.7415551908</v>
      </c>
      <c r="H376" s="34" t="n">
        <f aca="false">Inputs!$B$18*12*(1+Inputs!$B$19)^6+Inputs!$B$20*(1+Inputs!$B$15)^6</f>
        <v>33096.7415551908</v>
      </c>
      <c r="I376" s="34" t="n">
        <f aca="false">Inputs!$B$18*12*(1+Inputs!$B$19)^6+Inputs!$B$20*(1+Inputs!$B$15)^6</f>
        <v>33096.7415551908</v>
      </c>
    </row>
    <row r="377" customFormat="false" ht="15" hidden="true" customHeight="true" outlineLevel="0" collapsed="false">
      <c r="B377" s="34" t="n">
        <f aca="false">Inputs!$B$18*12*(1+Inputs!$B$19)^7+Inputs!$B$20*(1+Inputs!$B$15)^7</f>
        <v>34089.6438018466</v>
      </c>
      <c r="C377" s="34" t="n">
        <f aca="false">Inputs!$B$18*12*(1+Inputs!$B$19)^7+Inputs!$B$20*(1+Inputs!$B$15)^7</f>
        <v>34089.6438018466</v>
      </c>
      <c r="D377" s="34" t="n">
        <f aca="false">Inputs!$B$18*12*(1+Inputs!$B$19)^7+Inputs!$B$20*(1+Inputs!$B$15)^7</f>
        <v>34089.6438018466</v>
      </c>
      <c r="E377" s="34" t="n">
        <f aca="false">Inputs!$B$18*12*(1+Inputs!$B$19)^7+Inputs!$B$20*(1+Inputs!$B$15)^7</f>
        <v>34089.6438018466</v>
      </c>
      <c r="F377" s="34" t="n">
        <f aca="false">Inputs!$B$18*12*(1+Inputs!$B$19)^7+Inputs!$B$20*(1+Inputs!$B$15)^7</f>
        <v>34089.6438018466</v>
      </c>
      <c r="G377" s="34" t="n">
        <f aca="false">Inputs!$B$18*12*(1+Inputs!$B$19)^7+Inputs!$B$20*(1+Inputs!$B$15)^7</f>
        <v>34089.6438018466</v>
      </c>
      <c r="H377" s="34" t="n">
        <f aca="false">Inputs!$B$18*12*(1+Inputs!$B$19)^7+Inputs!$B$20*(1+Inputs!$B$15)^7</f>
        <v>34089.6438018466</v>
      </c>
      <c r="I377" s="34" t="n">
        <f aca="false">Inputs!$B$18*12*(1+Inputs!$B$19)^7+Inputs!$B$20*(1+Inputs!$B$15)^7</f>
        <v>34089.6438018466</v>
      </c>
    </row>
    <row r="378" customFormat="false" ht="15" hidden="true" customHeight="true" outlineLevel="0" collapsed="false">
      <c r="B378" s="34" t="n">
        <f aca="false">Inputs!$B$18*12*(1+Inputs!$B$19)^8+Inputs!$B$20*(1+Inputs!$B$15)^8</f>
        <v>35112.333115902</v>
      </c>
      <c r="C378" s="34" t="n">
        <f aca="false">Inputs!$B$18*12*(1+Inputs!$B$19)^8+Inputs!$B$20*(1+Inputs!$B$15)^8</f>
        <v>35112.333115902</v>
      </c>
      <c r="D378" s="34" t="n">
        <f aca="false">Inputs!$B$18*12*(1+Inputs!$B$19)^8+Inputs!$B$20*(1+Inputs!$B$15)^8</f>
        <v>35112.333115902</v>
      </c>
      <c r="E378" s="34" t="n">
        <f aca="false">Inputs!$B$18*12*(1+Inputs!$B$19)^8+Inputs!$B$20*(1+Inputs!$B$15)^8</f>
        <v>35112.333115902</v>
      </c>
      <c r="F378" s="34" t="n">
        <f aca="false">Inputs!$B$18*12*(1+Inputs!$B$19)^8+Inputs!$B$20*(1+Inputs!$B$15)^8</f>
        <v>35112.333115902</v>
      </c>
      <c r="G378" s="34" t="n">
        <f aca="false">Inputs!$B$18*12*(1+Inputs!$B$19)^8+Inputs!$B$20*(1+Inputs!$B$15)^8</f>
        <v>35112.333115902</v>
      </c>
      <c r="H378" s="34" t="n">
        <f aca="false">Inputs!$B$18*12*(1+Inputs!$B$19)^8+Inputs!$B$20*(1+Inputs!$B$15)^8</f>
        <v>35112.333115902</v>
      </c>
      <c r="I378" s="34" t="n">
        <f aca="false">Inputs!$B$18*12*(1+Inputs!$B$19)^8+Inputs!$B$20*(1+Inputs!$B$15)^8</f>
        <v>35112.333115902</v>
      </c>
    </row>
    <row r="379" customFormat="false" ht="15" hidden="true" customHeight="true" outlineLevel="0" collapsed="false">
      <c r="B379" s="34" t="n">
        <f aca="false">Inputs!$B$18*12*(1+Inputs!$B$19)^9+Inputs!$B$20*(1+Inputs!$B$15)^9</f>
        <v>36165.703109379</v>
      </c>
      <c r="C379" s="34" t="n">
        <f aca="false">Inputs!$B$18*12*(1+Inputs!$B$19)^9+Inputs!$B$20*(1+Inputs!$B$15)^9</f>
        <v>36165.703109379</v>
      </c>
      <c r="D379" s="34" t="n">
        <f aca="false">Inputs!$B$18*12*(1+Inputs!$B$19)^9+Inputs!$B$20*(1+Inputs!$B$15)^9</f>
        <v>36165.703109379</v>
      </c>
      <c r="E379" s="34" t="n">
        <f aca="false">Inputs!$B$18*12*(1+Inputs!$B$19)^9+Inputs!$B$20*(1+Inputs!$B$15)^9</f>
        <v>36165.703109379</v>
      </c>
      <c r="F379" s="34" t="n">
        <f aca="false">Inputs!$B$18*12*(1+Inputs!$B$19)^9+Inputs!$B$20*(1+Inputs!$B$15)^9</f>
        <v>36165.703109379</v>
      </c>
      <c r="G379" s="34" t="n">
        <f aca="false">Inputs!$B$18*12*(1+Inputs!$B$19)^9+Inputs!$B$20*(1+Inputs!$B$15)^9</f>
        <v>36165.703109379</v>
      </c>
      <c r="H379" s="34" t="n">
        <f aca="false">Inputs!$B$18*12*(1+Inputs!$B$19)^9+Inputs!$B$20*(1+Inputs!$B$15)^9</f>
        <v>36165.703109379</v>
      </c>
      <c r="I379" s="34" t="n">
        <f aca="false">Inputs!$B$18*12*(1+Inputs!$B$19)^9+Inputs!$B$20*(1+Inputs!$B$15)^9</f>
        <v>36165.703109379</v>
      </c>
    </row>
    <row r="380" customFormat="false" ht="15" hidden="true" customHeight="true" outlineLevel="0" collapsed="false">
      <c r="B380" s="34" t="n">
        <f aca="false">Inputs!$B$18*12*(1+Inputs!$B$19)^10+Inputs!$B$20*(1+Inputs!$B$15)^10</f>
        <v>37250.6742026604</v>
      </c>
      <c r="C380" s="34" t="n">
        <f aca="false">Inputs!$B$18*12*(1+Inputs!$B$19)^10+Inputs!$B$20*(1+Inputs!$B$15)^10</f>
        <v>37250.6742026604</v>
      </c>
      <c r="D380" s="34" t="n">
        <f aca="false">Inputs!$B$18*12*(1+Inputs!$B$19)^10+Inputs!$B$20*(1+Inputs!$B$15)^10</f>
        <v>37250.6742026604</v>
      </c>
      <c r="E380" s="34" t="n">
        <f aca="false">Inputs!$B$18*12*(1+Inputs!$B$19)^10+Inputs!$B$20*(1+Inputs!$B$15)^10</f>
        <v>37250.6742026604</v>
      </c>
      <c r="F380" s="34" t="n">
        <f aca="false">Inputs!$B$18*12*(1+Inputs!$B$19)^10+Inputs!$B$20*(1+Inputs!$B$15)^10</f>
        <v>37250.6742026604</v>
      </c>
      <c r="G380" s="34" t="n">
        <f aca="false">Inputs!$B$18*12*(1+Inputs!$B$19)^10+Inputs!$B$20*(1+Inputs!$B$15)^10</f>
        <v>37250.6742026604</v>
      </c>
      <c r="H380" s="34" t="n">
        <f aca="false">Inputs!$B$18*12*(1+Inputs!$B$19)^10+Inputs!$B$20*(1+Inputs!$B$15)^10</f>
        <v>37250.6742026604</v>
      </c>
      <c r="I380" s="34" t="n">
        <f aca="false">Inputs!$B$18*12*(1+Inputs!$B$19)^10+Inputs!$B$20*(1+Inputs!$B$15)^10</f>
        <v>37250.6742026604</v>
      </c>
    </row>
    <row r="381" customFormat="false" ht="15" hidden="true" customHeight="true" outlineLevel="0" collapsed="false">
      <c r="B381" s="34" t="n">
        <f aca="false">Inputs!$B$18*12*(1+Inputs!$B$19)^11+Inputs!$B$20*(1+Inputs!$B$15)^11</f>
        <v>38368.1944287402</v>
      </c>
      <c r="C381" s="34" t="n">
        <f aca="false">Inputs!$B$18*12*(1+Inputs!$B$19)^11+Inputs!$B$20*(1+Inputs!$B$15)^11</f>
        <v>38368.1944287402</v>
      </c>
      <c r="D381" s="34" t="n">
        <f aca="false">Inputs!$B$18*12*(1+Inputs!$B$19)^11+Inputs!$B$20*(1+Inputs!$B$15)^11</f>
        <v>38368.1944287402</v>
      </c>
      <c r="E381" s="34" t="n">
        <f aca="false">Inputs!$B$18*12*(1+Inputs!$B$19)^11+Inputs!$B$20*(1+Inputs!$B$15)^11</f>
        <v>38368.1944287402</v>
      </c>
      <c r="F381" s="34" t="n">
        <f aca="false">Inputs!$B$18*12*(1+Inputs!$B$19)^11+Inputs!$B$20*(1+Inputs!$B$15)^11</f>
        <v>38368.1944287402</v>
      </c>
      <c r="G381" s="34" t="n">
        <f aca="false">Inputs!$B$18*12*(1+Inputs!$B$19)^11+Inputs!$B$20*(1+Inputs!$B$15)^11</f>
        <v>38368.1944287402</v>
      </c>
      <c r="H381" s="34" t="n">
        <f aca="false">Inputs!$B$18*12*(1+Inputs!$B$19)^11+Inputs!$B$20*(1+Inputs!$B$15)^11</f>
        <v>38368.1944287402</v>
      </c>
      <c r="I381" s="34" t="n">
        <f aca="false">Inputs!$B$18*12*(1+Inputs!$B$19)^11+Inputs!$B$20*(1+Inputs!$B$15)^11</f>
        <v>38368.1944287402</v>
      </c>
    </row>
    <row r="382" customFormat="false" ht="15" hidden="true" customHeight="true" outlineLevel="0" collapsed="false">
      <c r="B382" s="34" t="n">
        <f aca="false">Inputs!$B$18*12*(1+Inputs!$B$19)^12+Inputs!$B$20*(1+Inputs!$B$15)^12</f>
        <v>39519.2402616024</v>
      </c>
      <c r="C382" s="34" t="n">
        <f aca="false">Inputs!$B$18*12*(1+Inputs!$B$19)^12+Inputs!$B$20*(1+Inputs!$B$15)^12</f>
        <v>39519.2402616024</v>
      </c>
      <c r="D382" s="34" t="n">
        <f aca="false">Inputs!$B$18*12*(1+Inputs!$B$19)^12+Inputs!$B$20*(1+Inputs!$B$15)^12</f>
        <v>39519.2402616024</v>
      </c>
      <c r="E382" s="34" t="n">
        <f aca="false">Inputs!$B$18*12*(1+Inputs!$B$19)^12+Inputs!$B$20*(1+Inputs!$B$15)^12</f>
        <v>39519.2402616024</v>
      </c>
      <c r="F382" s="34" t="n">
        <f aca="false">Inputs!$B$18*12*(1+Inputs!$B$19)^12+Inputs!$B$20*(1+Inputs!$B$15)^12</f>
        <v>39519.2402616024</v>
      </c>
      <c r="G382" s="34" t="n">
        <f aca="false">Inputs!$B$18*12*(1+Inputs!$B$19)^12+Inputs!$B$20*(1+Inputs!$B$15)^12</f>
        <v>39519.2402616024</v>
      </c>
      <c r="H382" s="34" t="n">
        <f aca="false">Inputs!$B$18*12*(1+Inputs!$B$19)^12+Inputs!$B$20*(1+Inputs!$B$15)^12</f>
        <v>39519.2402616024</v>
      </c>
      <c r="I382" s="34" t="n">
        <f aca="false">Inputs!$B$18*12*(1+Inputs!$B$19)^12+Inputs!$B$20*(1+Inputs!$B$15)^12</f>
        <v>39519.2402616024</v>
      </c>
    </row>
    <row r="383" customFormat="false" ht="15" hidden="true" customHeight="true" outlineLevel="0" collapsed="false">
      <c r="B383" s="34" t="n">
        <f aca="false">Inputs!$B$18*12*(1+Inputs!$B$19)^13+Inputs!$B$20*(1+Inputs!$B$15)^13</f>
        <v>40704.8174694505</v>
      </c>
      <c r="C383" s="34" t="n">
        <f aca="false">Inputs!$B$18*12*(1+Inputs!$B$19)^13+Inputs!$B$20*(1+Inputs!$B$15)^13</f>
        <v>40704.8174694505</v>
      </c>
      <c r="D383" s="34" t="n">
        <f aca="false">Inputs!$B$18*12*(1+Inputs!$B$19)^13+Inputs!$B$20*(1+Inputs!$B$15)^13</f>
        <v>40704.8174694505</v>
      </c>
      <c r="E383" s="34" t="n">
        <f aca="false">Inputs!$B$18*12*(1+Inputs!$B$19)^13+Inputs!$B$20*(1+Inputs!$B$15)^13</f>
        <v>40704.8174694505</v>
      </c>
      <c r="F383" s="34" t="n">
        <f aca="false">Inputs!$B$18*12*(1+Inputs!$B$19)^13+Inputs!$B$20*(1+Inputs!$B$15)^13</f>
        <v>40704.8174694505</v>
      </c>
      <c r="G383" s="34" t="n">
        <f aca="false">Inputs!$B$18*12*(1+Inputs!$B$19)^13+Inputs!$B$20*(1+Inputs!$B$15)^13</f>
        <v>40704.8174694505</v>
      </c>
      <c r="H383" s="34" t="n">
        <f aca="false">Inputs!$B$18*12*(1+Inputs!$B$19)^13+Inputs!$B$20*(1+Inputs!$B$15)^13</f>
        <v>40704.8174694505</v>
      </c>
      <c r="I383" s="34" t="n">
        <f aca="false">Inputs!$B$18*12*(1+Inputs!$B$19)^13+Inputs!$B$20*(1+Inputs!$B$15)^13</f>
        <v>40704.8174694505</v>
      </c>
    </row>
    <row r="384" customFormat="false" ht="15" hidden="true" customHeight="true" outlineLevel="0" collapsed="false">
      <c r="B384" s="34" t="n">
        <f aca="false">Inputs!$B$18*12*(1+Inputs!$B$19)^14+Inputs!$B$20*(1+Inputs!$B$15)^14</f>
        <v>41925.961993534</v>
      </c>
      <c r="C384" s="34" t="n">
        <f aca="false">Inputs!$B$18*12*(1+Inputs!$B$19)^14+Inputs!$B$20*(1+Inputs!$B$15)^14</f>
        <v>41925.961993534</v>
      </c>
      <c r="D384" s="34" t="n">
        <f aca="false">Inputs!$B$18*12*(1+Inputs!$B$19)^14+Inputs!$B$20*(1+Inputs!$B$15)^14</f>
        <v>41925.961993534</v>
      </c>
      <c r="E384" s="34" t="n">
        <f aca="false">Inputs!$B$18*12*(1+Inputs!$B$19)^14+Inputs!$B$20*(1+Inputs!$B$15)^14</f>
        <v>41925.961993534</v>
      </c>
      <c r="F384" s="34" t="n">
        <f aca="false">Inputs!$B$18*12*(1+Inputs!$B$19)^14+Inputs!$B$20*(1+Inputs!$B$15)^14</f>
        <v>41925.961993534</v>
      </c>
      <c r="G384" s="34" t="n">
        <f aca="false">Inputs!$B$18*12*(1+Inputs!$B$19)^14+Inputs!$B$20*(1+Inputs!$B$15)^14</f>
        <v>41925.961993534</v>
      </c>
      <c r="H384" s="34" t="n">
        <f aca="false">Inputs!$B$18*12*(1+Inputs!$B$19)^14+Inputs!$B$20*(1+Inputs!$B$15)^14</f>
        <v>41925.961993534</v>
      </c>
      <c r="I384" s="34" t="n">
        <f aca="false">Inputs!$B$18*12*(1+Inputs!$B$19)^14+Inputs!$B$20*(1+Inputs!$B$15)^14</f>
        <v>41925.961993534</v>
      </c>
    </row>
    <row r="385" customFormat="false" ht="15" hidden="true" customHeight="true" outlineLevel="0" collapsed="false">
      <c r="B385" s="34" t="n">
        <f aca="false">Inputs!$B$18*12*(1+Inputs!$B$19)^15+Inputs!$B$20*(1+Inputs!$B$15)^15</f>
        <v>43183.74085334</v>
      </c>
      <c r="C385" s="34" t="n">
        <f aca="false">Inputs!$B$18*12*(1+Inputs!$B$19)^15+Inputs!$B$20*(1+Inputs!$B$15)^15</f>
        <v>43183.74085334</v>
      </c>
      <c r="D385" s="34" t="n">
        <f aca="false">Inputs!$B$18*12*(1+Inputs!$B$19)^15+Inputs!$B$20*(1+Inputs!$B$15)^15</f>
        <v>43183.74085334</v>
      </c>
      <c r="E385" s="34" t="n">
        <f aca="false">Inputs!$B$18*12*(1+Inputs!$B$19)^15+Inputs!$B$20*(1+Inputs!$B$15)^15</f>
        <v>43183.74085334</v>
      </c>
      <c r="F385" s="34" t="n">
        <f aca="false">Inputs!$B$18*12*(1+Inputs!$B$19)^15+Inputs!$B$20*(1+Inputs!$B$15)^15</f>
        <v>43183.74085334</v>
      </c>
      <c r="G385" s="34" t="n">
        <f aca="false">Inputs!$B$18*12*(1+Inputs!$B$19)^15+Inputs!$B$20*(1+Inputs!$B$15)^15</f>
        <v>43183.74085334</v>
      </c>
      <c r="H385" s="34" t="n">
        <f aca="false">Inputs!$B$18*12*(1+Inputs!$B$19)^15+Inputs!$B$20*(1+Inputs!$B$15)^15</f>
        <v>43183.74085334</v>
      </c>
      <c r="I385" s="34" t="n">
        <f aca="false">Inputs!$B$18*12*(1+Inputs!$B$19)^15+Inputs!$B$20*(1+Inputs!$B$15)^15</f>
        <v>43183.74085334</v>
      </c>
    </row>
    <row r="386" customFormat="false" ht="15" hidden="true" customHeight="true" outlineLevel="0" collapsed="false">
      <c r="B386" s="34" t="n">
        <f aca="false">Inputs!$B$18*12*(1+Inputs!$B$19)^16+Inputs!$B$20*(1+Inputs!$B$15)^16</f>
        <v>44479.2530789402</v>
      </c>
      <c r="C386" s="34" t="n">
        <f aca="false">Inputs!$B$18*12*(1+Inputs!$B$19)^16+Inputs!$B$20*(1+Inputs!$B$15)^16</f>
        <v>44479.2530789402</v>
      </c>
      <c r="D386" s="34" t="n">
        <f aca="false">Inputs!$B$18*12*(1+Inputs!$B$19)^16+Inputs!$B$20*(1+Inputs!$B$15)^16</f>
        <v>44479.2530789402</v>
      </c>
      <c r="E386" s="34" t="n">
        <f aca="false">Inputs!$B$18*12*(1+Inputs!$B$19)^16+Inputs!$B$20*(1+Inputs!$B$15)^16</f>
        <v>44479.2530789402</v>
      </c>
      <c r="F386" s="34" t="n">
        <f aca="false">Inputs!$B$18*12*(1+Inputs!$B$19)^16+Inputs!$B$20*(1+Inputs!$B$15)^16</f>
        <v>44479.2530789402</v>
      </c>
      <c r="G386" s="34" t="n">
        <f aca="false">Inputs!$B$18*12*(1+Inputs!$B$19)^16+Inputs!$B$20*(1+Inputs!$B$15)^16</f>
        <v>44479.2530789402</v>
      </c>
      <c r="H386" s="34" t="n">
        <f aca="false">Inputs!$B$18*12*(1+Inputs!$B$19)^16+Inputs!$B$20*(1+Inputs!$B$15)^16</f>
        <v>44479.2530789402</v>
      </c>
      <c r="I386" s="34" t="n">
        <f aca="false">Inputs!$B$18*12*(1+Inputs!$B$19)^16+Inputs!$B$20*(1+Inputs!$B$15)^16</f>
        <v>44479.2530789402</v>
      </c>
    </row>
    <row r="387" customFormat="false" ht="15" hidden="true" customHeight="true" outlineLevel="0" collapsed="false">
      <c r="B387" s="34" t="n">
        <f aca="false">Inputs!$B$18*12*(1+Inputs!$B$19)^17+Inputs!$B$20*(1+Inputs!$B$15)^17</f>
        <v>45813.6306713084</v>
      </c>
      <c r="C387" s="34" t="n">
        <f aca="false">Inputs!$B$18*12*(1+Inputs!$B$19)^17+Inputs!$B$20*(1+Inputs!$B$15)^17</f>
        <v>45813.6306713084</v>
      </c>
      <c r="D387" s="34" t="n">
        <f aca="false">Inputs!$B$18*12*(1+Inputs!$B$19)^17+Inputs!$B$20*(1+Inputs!$B$15)^17</f>
        <v>45813.6306713084</v>
      </c>
      <c r="E387" s="34" t="n">
        <f aca="false">Inputs!$B$18*12*(1+Inputs!$B$19)^17+Inputs!$B$20*(1+Inputs!$B$15)^17</f>
        <v>45813.6306713084</v>
      </c>
      <c r="F387" s="34" t="n">
        <f aca="false">Inputs!$B$18*12*(1+Inputs!$B$19)^17+Inputs!$B$20*(1+Inputs!$B$15)^17</f>
        <v>45813.6306713084</v>
      </c>
      <c r="G387" s="34" t="n">
        <f aca="false">Inputs!$B$18*12*(1+Inputs!$B$19)^17+Inputs!$B$20*(1+Inputs!$B$15)^17</f>
        <v>45813.6306713084</v>
      </c>
      <c r="H387" s="34" t="n">
        <f aca="false">Inputs!$B$18*12*(1+Inputs!$B$19)^17+Inputs!$B$20*(1+Inputs!$B$15)^17</f>
        <v>45813.6306713084</v>
      </c>
      <c r="I387" s="34" t="n">
        <f aca="false">Inputs!$B$18*12*(1+Inputs!$B$19)^17+Inputs!$B$20*(1+Inputs!$B$15)^17</f>
        <v>45813.6306713084</v>
      </c>
    </row>
    <row r="388" customFormat="false" ht="15" hidden="true" customHeight="true" outlineLevel="0" collapsed="false">
      <c r="B388" s="34" t="n">
        <f aca="false">Inputs!$B$18*12*(1+Inputs!$B$19)^18+Inputs!$B$20*(1+Inputs!$B$15)^18</f>
        <v>47188.0395914477</v>
      </c>
      <c r="C388" s="34" t="n">
        <f aca="false">Inputs!$B$18*12*(1+Inputs!$B$19)^18+Inputs!$B$20*(1+Inputs!$B$15)^18</f>
        <v>47188.0395914477</v>
      </c>
      <c r="D388" s="34" t="n">
        <f aca="false">Inputs!$B$18*12*(1+Inputs!$B$19)^18+Inputs!$B$20*(1+Inputs!$B$15)^18</f>
        <v>47188.0395914477</v>
      </c>
      <c r="E388" s="34" t="n">
        <f aca="false">Inputs!$B$18*12*(1+Inputs!$B$19)^18+Inputs!$B$20*(1+Inputs!$B$15)^18</f>
        <v>47188.0395914477</v>
      </c>
      <c r="F388" s="34" t="n">
        <f aca="false">Inputs!$B$18*12*(1+Inputs!$B$19)^18+Inputs!$B$20*(1+Inputs!$B$15)^18</f>
        <v>47188.0395914477</v>
      </c>
      <c r="G388" s="34" t="n">
        <f aca="false">Inputs!$B$18*12*(1+Inputs!$B$19)^18+Inputs!$B$20*(1+Inputs!$B$15)^18</f>
        <v>47188.0395914477</v>
      </c>
      <c r="H388" s="34" t="n">
        <f aca="false">Inputs!$B$18*12*(1+Inputs!$B$19)^18+Inputs!$B$20*(1+Inputs!$B$15)^18</f>
        <v>47188.0395914477</v>
      </c>
      <c r="I388" s="34" t="n">
        <f aca="false">Inputs!$B$18*12*(1+Inputs!$B$19)^18+Inputs!$B$20*(1+Inputs!$B$15)^18</f>
        <v>47188.0395914477</v>
      </c>
    </row>
    <row r="389" customFormat="false" ht="15" hidden="true" customHeight="true" outlineLevel="0" collapsed="false">
      <c r="B389" s="34" t="n">
        <f aca="false">Inputs!$B$18*12*(1+Inputs!$B$19)^19+Inputs!$B$20*(1+Inputs!$B$15)^19</f>
        <v>48603.6807791911</v>
      </c>
      <c r="C389" s="34" t="n">
        <f aca="false">Inputs!$B$18*12*(1+Inputs!$B$19)^19+Inputs!$B$20*(1+Inputs!$B$15)^19</f>
        <v>48603.6807791911</v>
      </c>
      <c r="D389" s="34" t="n">
        <f aca="false">Inputs!$B$18*12*(1+Inputs!$B$19)^19+Inputs!$B$20*(1+Inputs!$B$15)^19</f>
        <v>48603.6807791911</v>
      </c>
      <c r="E389" s="34" t="n">
        <f aca="false">Inputs!$B$18*12*(1+Inputs!$B$19)^19+Inputs!$B$20*(1+Inputs!$B$15)^19</f>
        <v>48603.6807791911</v>
      </c>
      <c r="F389" s="34" t="n">
        <f aca="false">Inputs!$B$18*12*(1+Inputs!$B$19)^19+Inputs!$B$20*(1+Inputs!$B$15)^19</f>
        <v>48603.6807791911</v>
      </c>
      <c r="G389" s="34" t="n">
        <f aca="false">Inputs!$B$18*12*(1+Inputs!$B$19)^19+Inputs!$B$20*(1+Inputs!$B$15)^19</f>
        <v>48603.6807791911</v>
      </c>
      <c r="H389" s="34" t="n">
        <f aca="false">Inputs!$B$18*12*(1+Inputs!$B$19)^19+Inputs!$B$20*(1+Inputs!$B$15)^19</f>
        <v>48603.6807791911</v>
      </c>
      <c r="I389" s="34" t="n">
        <f aca="false">Inputs!$B$18*12*(1+Inputs!$B$19)^19+Inputs!$B$20*(1+Inputs!$B$15)^19</f>
        <v>48603.6807791911</v>
      </c>
    </row>
    <row r="390" customFormat="false" ht="15" hidden="true" customHeight="true" outlineLevel="0" collapsed="false">
      <c r="B390" s="34" t="n">
        <f aca="false">Inputs!$B$18*12*(1+Inputs!$B$19)^20+Inputs!$B$20*(1+Inputs!$B$15)^20</f>
        <v>50061.7912025668</v>
      </c>
      <c r="C390" s="34" t="n">
        <f aca="false">Inputs!$B$18*12*(1+Inputs!$B$19)^20+Inputs!$B$20*(1+Inputs!$B$15)^20</f>
        <v>50061.7912025668</v>
      </c>
      <c r="D390" s="34" t="n">
        <f aca="false">Inputs!$B$18*12*(1+Inputs!$B$19)^20+Inputs!$B$20*(1+Inputs!$B$15)^20</f>
        <v>50061.7912025668</v>
      </c>
      <c r="E390" s="34" t="n">
        <f aca="false">Inputs!$B$18*12*(1+Inputs!$B$19)^20+Inputs!$B$20*(1+Inputs!$B$15)^20</f>
        <v>50061.7912025668</v>
      </c>
      <c r="F390" s="34" t="n">
        <f aca="false">Inputs!$B$18*12*(1+Inputs!$B$19)^20+Inputs!$B$20*(1+Inputs!$B$15)^20</f>
        <v>50061.7912025668</v>
      </c>
      <c r="G390" s="34" t="n">
        <f aca="false">Inputs!$B$18*12*(1+Inputs!$B$19)^20+Inputs!$B$20*(1+Inputs!$B$15)^20</f>
        <v>50061.7912025668</v>
      </c>
      <c r="H390" s="34" t="n">
        <f aca="false">Inputs!$B$18*12*(1+Inputs!$B$19)^20+Inputs!$B$20*(1+Inputs!$B$15)^20</f>
        <v>50061.7912025668</v>
      </c>
      <c r="I390" s="34" t="n">
        <f aca="false">Inputs!$B$18*12*(1+Inputs!$B$19)^20+Inputs!$B$20*(1+Inputs!$B$15)^20</f>
        <v>50061.7912025668</v>
      </c>
    </row>
    <row r="391" customFormat="false" ht="15" hidden="true" customHeight="true" outlineLevel="0" collapsed="false">
      <c r="B391" s="34" t="n">
        <f aca="false">Inputs!$B$18*12*(1+Inputs!$B$19)^21+Inputs!$B$20*(1+Inputs!$B$15)^21</f>
        <v>51563.6449386439</v>
      </c>
      <c r="C391" s="34" t="n">
        <f aca="false">Inputs!$B$18*12*(1+Inputs!$B$19)^21+Inputs!$B$20*(1+Inputs!$B$15)^21</f>
        <v>51563.6449386439</v>
      </c>
      <c r="D391" s="34" t="n">
        <f aca="false">Inputs!$B$18*12*(1+Inputs!$B$19)^21+Inputs!$B$20*(1+Inputs!$B$15)^21</f>
        <v>51563.6449386439</v>
      </c>
      <c r="E391" s="34" t="n">
        <f aca="false">Inputs!$B$18*12*(1+Inputs!$B$19)^21+Inputs!$B$20*(1+Inputs!$B$15)^21</f>
        <v>51563.6449386439</v>
      </c>
      <c r="F391" s="34" t="n">
        <f aca="false">Inputs!$B$18*12*(1+Inputs!$B$19)^21+Inputs!$B$20*(1+Inputs!$B$15)^21</f>
        <v>51563.6449386439</v>
      </c>
      <c r="G391" s="34" t="n">
        <f aca="false">Inputs!$B$18*12*(1+Inputs!$B$19)^21+Inputs!$B$20*(1+Inputs!$B$15)^21</f>
        <v>51563.6449386439</v>
      </c>
      <c r="H391" s="34" t="n">
        <f aca="false">Inputs!$B$18*12*(1+Inputs!$B$19)^21+Inputs!$B$20*(1+Inputs!$B$15)^21</f>
        <v>51563.6449386439</v>
      </c>
      <c r="I391" s="34" t="n">
        <f aca="false">Inputs!$B$18*12*(1+Inputs!$B$19)^21+Inputs!$B$20*(1+Inputs!$B$15)^21</f>
        <v>51563.6449386439</v>
      </c>
    </row>
    <row r="392" customFormat="false" ht="15" hidden="true" customHeight="true" outlineLevel="0" collapsed="false">
      <c r="B392" s="34" t="n">
        <f aca="false">Inputs!$B$18*12*(1+Inputs!$B$19)^22+Inputs!$B$20*(1+Inputs!$B$15)^22</f>
        <v>53110.5542868032</v>
      </c>
      <c r="C392" s="34" t="n">
        <f aca="false">Inputs!$B$18*12*(1+Inputs!$B$19)^22+Inputs!$B$20*(1+Inputs!$B$15)^22</f>
        <v>53110.5542868032</v>
      </c>
      <c r="D392" s="34" t="n">
        <f aca="false">Inputs!$B$18*12*(1+Inputs!$B$19)^22+Inputs!$B$20*(1+Inputs!$B$15)^22</f>
        <v>53110.5542868032</v>
      </c>
      <c r="E392" s="34" t="n">
        <f aca="false">Inputs!$B$18*12*(1+Inputs!$B$19)^22+Inputs!$B$20*(1+Inputs!$B$15)^22</f>
        <v>53110.5542868032</v>
      </c>
      <c r="F392" s="34" t="n">
        <f aca="false">Inputs!$B$18*12*(1+Inputs!$B$19)^22+Inputs!$B$20*(1+Inputs!$B$15)^22</f>
        <v>53110.5542868032</v>
      </c>
      <c r="G392" s="34" t="n">
        <f aca="false">Inputs!$B$18*12*(1+Inputs!$B$19)^22+Inputs!$B$20*(1+Inputs!$B$15)^22</f>
        <v>53110.5542868032</v>
      </c>
      <c r="H392" s="34" t="n">
        <f aca="false">Inputs!$B$18*12*(1+Inputs!$B$19)^22+Inputs!$B$20*(1+Inputs!$B$15)^22</f>
        <v>53110.5542868032</v>
      </c>
      <c r="I392" s="34" t="n">
        <f aca="false">Inputs!$B$18*12*(1+Inputs!$B$19)^22+Inputs!$B$20*(1+Inputs!$B$15)^22</f>
        <v>53110.5542868032</v>
      </c>
    </row>
    <row r="393" customFormat="false" ht="15" hidden="true" customHeight="true" outlineLevel="0" collapsed="false">
      <c r="B393" s="34" t="n">
        <f aca="false">Inputs!$B$18*12*(1+Inputs!$B$19)^23+Inputs!$B$20*(1+Inputs!$B$15)^23</f>
        <v>54703.8709154073</v>
      </c>
      <c r="C393" s="34" t="n">
        <f aca="false">Inputs!$B$18*12*(1+Inputs!$B$19)^23+Inputs!$B$20*(1+Inputs!$B$15)^23</f>
        <v>54703.8709154073</v>
      </c>
      <c r="D393" s="34" t="n">
        <f aca="false">Inputs!$B$18*12*(1+Inputs!$B$19)^23+Inputs!$B$20*(1+Inputs!$B$15)^23</f>
        <v>54703.8709154073</v>
      </c>
      <c r="E393" s="34" t="n">
        <f aca="false">Inputs!$B$18*12*(1+Inputs!$B$19)^23+Inputs!$B$20*(1+Inputs!$B$15)^23</f>
        <v>54703.8709154073</v>
      </c>
      <c r="F393" s="34" t="n">
        <f aca="false">Inputs!$B$18*12*(1+Inputs!$B$19)^23+Inputs!$B$20*(1+Inputs!$B$15)^23</f>
        <v>54703.8709154073</v>
      </c>
      <c r="G393" s="34" t="n">
        <f aca="false">Inputs!$B$18*12*(1+Inputs!$B$19)^23+Inputs!$B$20*(1+Inputs!$B$15)^23</f>
        <v>54703.8709154073</v>
      </c>
      <c r="H393" s="34" t="n">
        <f aca="false">Inputs!$B$18*12*(1+Inputs!$B$19)^23+Inputs!$B$20*(1+Inputs!$B$15)^23</f>
        <v>54703.8709154073</v>
      </c>
      <c r="I393" s="34" t="n">
        <f aca="false">Inputs!$B$18*12*(1+Inputs!$B$19)^23+Inputs!$B$20*(1+Inputs!$B$15)^23</f>
        <v>54703.8709154073</v>
      </c>
    </row>
    <row r="394" customFormat="false" ht="15" hidden="true" customHeight="true" outlineLevel="0" collapsed="false">
      <c r="B394" s="34" t="n">
        <f aca="false">Inputs!$B$18*12*(1+Inputs!$B$19)^24+Inputs!$B$20*(1+Inputs!$B$15)^24</f>
        <v>56344.9870428695</v>
      </c>
      <c r="C394" s="34" t="n">
        <f aca="false">Inputs!$B$18*12*(1+Inputs!$B$19)^24+Inputs!$B$20*(1+Inputs!$B$15)^24</f>
        <v>56344.9870428695</v>
      </c>
      <c r="D394" s="34" t="n">
        <f aca="false">Inputs!$B$18*12*(1+Inputs!$B$19)^24+Inputs!$B$20*(1+Inputs!$B$15)^24</f>
        <v>56344.9870428695</v>
      </c>
      <c r="E394" s="34" t="n">
        <f aca="false">Inputs!$B$18*12*(1+Inputs!$B$19)^24+Inputs!$B$20*(1+Inputs!$B$15)^24</f>
        <v>56344.9870428695</v>
      </c>
      <c r="F394" s="34" t="n">
        <f aca="false">Inputs!$B$18*12*(1+Inputs!$B$19)^24+Inputs!$B$20*(1+Inputs!$B$15)^24</f>
        <v>56344.9870428695</v>
      </c>
      <c r="G394" s="34" t="n">
        <f aca="false">Inputs!$B$18*12*(1+Inputs!$B$19)^24+Inputs!$B$20*(1+Inputs!$B$15)^24</f>
        <v>56344.9870428695</v>
      </c>
      <c r="H394" s="34" t="n">
        <f aca="false">Inputs!$B$18*12*(1+Inputs!$B$19)^24+Inputs!$B$20*(1+Inputs!$B$15)^24</f>
        <v>56344.9870428695</v>
      </c>
      <c r="I394" s="34" t="n">
        <f aca="false">Inputs!$B$18*12*(1+Inputs!$B$19)^24+Inputs!$B$20*(1+Inputs!$B$15)^24</f>
        <v>56344.9870428695</v>
      </c>
    </row>
    <row r="395" customFormat="false" ht="15" hidden="true" customHeight="true" outlineLevel="0" collapsed="false">
      <c r="B395" s="34" t="n">
        <f aca="false">Inputs!$B$18*12*(1+Inputs!$B$19)^25+Inputs!$B$20*(1+Inputs!$B$15)^25</f>
        <v>58035.3366541556</v>
      </c>
      <c r="C395" s="34" t="n">
        <f aca="false">Inputs!$B$18*12*(1+Inputs!$B$19)^25+Inputs!$B$20*(1+Inputs!$B$15)^25</f>
        <v>58035.3366541556</v>
      </c>
      <c r="D395" s="34" t="n">
        <f aca="false">Inputs!$B$18*12*(1+Inputs!$B$19)^25+Inputs!$B$20*(1+Inputs!$B$15)^25</f>
        <v>58035.3366541556</v>
      </c>
      <c r="E395" s="34" t="n">
        <f aca="false">Inputs!$B$18*12*(1+Inputs!$B$19)^25+Inputs!$B$20*(1+Inputs!$B$15)^25</f>
        <v>58035.3366541556</v>
      </c>
      <c r="F395" s="34" t="n">
        <f aca="false">Inputs!$B$18*12*(1+Inputs!$B$19)^25+Inputs!$B$20*(1+Inputs!$B$15)^25</f>
        <v>58035.3366541556</v>
      </c>
      <c r="G395" s="34" t="n">
        <f aca="false">Inputs!$B$18*12*(1+Inputs!$B$19)^25+Inputs!$B$20*(1+Inputs!$B$15)^25</f>
        <v>58035.3366541556</v>
      </c>
      <c r="H395" s="34" t="n">
        <f aca="false">Inputs!$B$18*12*(1+Inputs!$B$19)^25+Inputs!$B$20*(1+Inputs!$B$15)^25</f>
        <v>58035.3366541556</v>
      </c>
      <c r="I395" s="34" t="n">
        <f aca="false">Inputs!$B$18*12*(1+Inputs!$B$19)^25+Inputs!$B$20*(1+Inputs!$B$15)^25</f>
        <v>58035.3366541556</v>
      </c>
    </row>
    <row r="396" customFormat="false" ht="15" hidden="true" customHeight="true" outlineLevel="0" collapsed="false">
      <c r="B396" s="34" t="n">
        <f aca="false">Inputs!$B$18*12*(1+Inputs!$B$19)^26+Inputs!$B$20*(1+Inputs!$B$15)^26</f>
        <v>59776.3967537802</v>
      </c>
      <c r="C396" s="34" t="n">
        <f aca="false">Inputs!$B$18*12*(1+Inputs!$B$19)^26+Inputs!$B$20*(1+Inputs!$B$15)^26</f>
        <v>59776.3967537802</v>
      </c>
      <c r="D396" s="34" t="n">
        <f aca="false">Inputs!$B$18*12*(1+Inputs!$B$19)^26+Inputs!$B$20*(1+Inputs!$B$15)^26</f>
        <v>59776.3967537802</v>
      </c>
      <c r="E396" s="34" t="n">
        <f aca="false">Inputs!$B$18*12*(1+Inputs!$B$19)^26+Inputs!$B$20*(1+Inputs!$B$15)^26</f>
        <v>59776.3967537802</v>
      </c>
      <c r="F396" s="34" t="n">
        <f aca="false">Inputs!$B$18*12*(1+Inputs!$B$19)^26+Inputs!$B$20*(1+Inputs!$B$15)^26</f>
        <v>59776.3967537802</v>
      </c>
      <c r="G396" s="34" t="n">
        <f aca="false">Inputs!$B$18*12*(1+Inputs!$B$19)^26+Inputs!$B$20*(1+Inputs!$B$15)^26</f>
        <v>59776.3967537802</v>
      </c>
      <c r="H396" s="34" t="n">
        <f aca="false">Inputs!$B$18*12*(1+Inputs!$B$19)^26+Inputs!$B$20*(1+Inputs!$B$15)^26</f>
        <v>59776.3967537802</v>
      </c>
      <c r="I396" s="34" t="n">
        <f aca="false">Inputs!$B$18*12*(1+Inputs!$B$19)^26+Inputs!$B$20*(1+Inputs!$B$15)^26</f>
        <v>59776.3967537802</v>
      </c>
    </row>
    <row r="397" customFormat="false" ht="15" hidden="true" customHeight="true" outlineLevel="0" collapsed="false">
      <c r="B397" s="34" t="n">
        <f aca="false">Inputs!$B$18*12*(1+Inputs!$B$19)^27+Inputs!$B$20*(1+Inputs!$B$15)^27</f>
        <v>61569.6886563937</v>
      </c>
      <c r="C397" s="34" t="n">
        <f aca="false">Inputs!$B$18*12*(1+Inputs!$B$19)^27+Inputs!$B$20*(1+Inputs!$B$15)^27</f>
        <v>61569.6886563937</v>
      </c>
      <c r="D397" s="34" t="n">
        <f aca="false">Inputs!$B$18*12*(1+Inputs!$B$19)^27+Inputs!$B$20*(1+Inputs!$B$15)^27</f>
        <v>61569.6886563937</v>
      </c>
      <c r="E397" s="34" t="n">
        <f aca="false">Inputs!$B$18*12*(1+Inputs!$B$19)^27+Inputs!$B$20*(1+Inputs!$B$15)^27</f>
        <v>61569.6886563937</v>
      </c>
      <c r="F397" s="34" t="n">
        <f aca="false">Inputs!$B$18*12*(1+Inputs!$B$19)^27+Inputs!$B$20*(1+Inputs!$B$15)^27</f>
        <v>61569.6886563937</v>
      </c>
      <c r="G397" s="34" t="n">
        <f aca="false">Inputs!$B$18*12*(1+Inputs!$B$19)^27+Inputs!$B$20*(1+Inputs!$B$15)^27</f>
        <v>61569.6886563937</v>
      </c>
      <c r="H397" s="34" t="n">
        <f aca="false">Inputs!$B$18*12*(1+Inputs!$B$19)^27+Inputs!$B$20*(1+Inputs!$B$15)^27</f>
        <v>61569.6886563937</v>
      </c>
      <c r="I397" s="34" t="n">
        <f aca="false">Inputs!$B$18*12*(1+Inputs!$B$19)^27+Inputs!$B$20*(1+Inputs!$B$15)^27</f>
        <v>61569.6886563937</v>
      </c>
    </row>
    <row r="398" customFormat="false" ht="15" hidden="true" customHeight="true" outlineLevel="0" collapsed="false">
      <c r="B398" s="34" t="n">
        <f aca="false">Inputs!$B$18*12*(1+Inputs!$B$19)^28+Inputs!$B$20*(1+Inputs!$B$15)^28</f>
        <v>63416.7793160855</v>
      </c>
      <c r="C398" s="34" t="n">
        <f aca="false">Inputs!$B$18*12*(1+Inputs!$B$19)^28+Inputs!$B$20*(1+Inputs!$B$15)^28</f>
        <v>63416.7793160855</v>
      </c>
      <c r="D398" s="34" t="n">
        <f aca="false">Inputs!$B$18*12*(1+Inputs!$B$19)^28+Inputs!$B$20*(1+Inputs!$B$15)^28</f>
        <v>63416.7793160855</v>
      </c>
      <c r="E398" s="34" t="n">
        <f aca="false">Inputs!$B$18*12*(1+Inputs!$B$19)^28+Inputs!$B$20*(1+Inputs!$B$15)^28</f>
        <v>63416.7793160855</v>
      </c>
      <c r="F398" s="34" t="n">
        <f aca="false">Inputs!$B$18*12*(1+Inputs!$B$19)^28+Inputs!$B$20*(1+Inputs!$B$15)^28</f>
        <v>63416.7793160855</v>
      </c>
      <c r="G398" s="34" t="n">
        <f aca="false">Inputs!$B$18*12*(1+Inputs!$B$19)^28+Inputs!$B$20*(1+Inputs!$B$15)^28</f>
        <v>63416.7793160855</v>
      </c>
      <c r="H398" s="34" t="n">
        <f aca="false">Inputs!$B$18*12*(1+Inputs!$B$19)^28+Inputs!$B$20*(1+Inputs!$B$15)^28</f>
        <v>63416.7793160855</v>
      </c>
      <c r="I398" s="34" t="n">
        <f aca="false">Inputs!$B$18*12*(1+Inputs!$B$19)^28+Inputs!$B$20*(1+Inputs!$B$15)^28</f>
        <v>63416.7793160855</v>
      </c>
    </row>
    <row r="399" customFormat="false" ht="15" hidden="true" customHeight="true" outlineLevel="0" collapsed="false">
      <c r="B399" s="34" t="n">
        <f aca="false">Inputs!$B$18*12*(1+Inputs!$B$19)^29+Inputs!$B$20*(1+Inputs!$B$15)^29</f>
        <v>65319.282695568</v>
      </c>
      <c r="C399" s="34" t="n">
        <f aca="false">Inputs!$B$18*12*(1+Inputs!$B$19)^29+Inputs!$B$20*(1+Inputs!$B$15)^29</f>
        <v>65319.282695568</v>
      </c>
      <c r="D399" s="34" t="n">
        <f aca="false">Inputs!$B$18*12*(1+Inputs!$B$19)^29+Inputs!$B$20*(1+Inputs!$B$15)^29</f>
        <v>65319.282695568</v>
      </c>
      <c r="E399" s="34" t="n">
        <f aca="false">Inputs!$B$18*12*(1+Inputs!$B$19)^29+Inputs!$B$20*(1+Inputs!$B$15)^29</f>
        <v>65319.282695568</v>
      </c>
      <c r="F399" s="34" t="n">
        <f aca="false">Inputs!$B$18*12*(1+Inputs!$B$19)^29+Inputs!$B$20*(1+Inputs!$B$15)^29</f>
        <v>65319.282695568</v>
      </c>
      <c r="G399" s="34" t="n">
        <f aca="false">Inputs!$B$18*12*(1+Inputs!$B$19)^29+Inputs!$B$20*(1+Inputs!$B$15)^29</f>
        <v>65319.282695568</v>
      </c>
      <c r="H399" s="34" t="n">
        <f aca="false">Inputs!$B$18*12*(1+Inputs!$B$19)^29+Inputs!$B$20*(1+Inputs!$B$15)^29</f>
        <v>65319.282695568</v>
      </c>
      <c r="I399" s="34" t="n">
        <f aca="false">Inputs!$B$18*12*(1+Inputs!$B$19)^29+Inputs!$B$20*(1+Inputs!$B$15)^29</f>
        <v>65319.282695568</v>
      </c>
    </row>
    <row r="400" customFormat="false" ht="15" hidden="true" customHeight="true" outlineLevel="0" collapsed="false"/>
    <row r="401" customFormat="false" ht="15" hidden="true" customHeight="true" outlineLevel="0" collapsed="false">
      <c r="A401" s="33" t="s">
        <v>95</v>
      </c>
      <c r="B401" s="34" t="n">
        <f aca="false">Inputs!$B$4*Inputs!$B$5+Inputs!$B$4*Inputs!$B$8</f>
        <v>98693</v>
      </c>
      <c r="C401" s="34" t="n">
        <f aca="false">Inputs!$B$4*Inputs!$B$5+Inputs!$B$4*Inputs!$B$8</f>
        <v>98693</v>
      </c>
      <c r="D401" s="34" t="n">
        <f aca="false">Inputs!$B$4*Inputs!$B$5+Inputs!$B$4*Inputs!$B$8</f>
        <v>98693</v>
      </c>
      <c r="E401" s="34" t="n">
        <f aca="false">Inputs!$B$4*Inputs!$B$5+Inputs!$B$4*Inputs!$B$8</f>
        <v>98693</v>
      </c>
      <c r="F401" s="34" t="n">
        <f aca="false">Inputs!$B$4*Inputs!$B$5+Inputs!$B$4*Inputs!$B$8</f>
        <v>98693</v>
      </c>
      <c r="G401" s="34" t="n">
        <f aca="false">Inputs!$B$4*Inputs!$B$5+Inputs!$B$4*Inputs!$B$8</f>
        <v>98693</v>
      </c>
      <c r="H401" s="34" t="n">
        <f aca="false">Inputs!$B$4*Inputs!$B$5+Inputs!$B$4*Inputs!$B$8</f>
        <v>98693</v>
      </c>
      <c r="I401" s="34" t="n">
        <f aca="false">Inputs!$B$4*Inputs!$B$5+Inputs!$B$4*Inputs!$B$8</f>
        <v>98693</v>
      </c>
    </row>
    <row r="402" customFormat="false" ht="15" hidden="true" customHeight="true" outlineLevel="0" collapsed="false">
      <c r="B402" s="34" t="n">
        <f aca="false">B401*(1+Inputs!$B$23)+MAX(B338-B370,0)</f>
        <v>108979.871978843</v>
      </c>
      <c r="C402" s="34" t="n">
        <f aca="false">C401*(1+Inputs!$B$23)+MAX(C338-C370,0)</f>
        <v>110221.295209713</v>
      </c>
      <c r="D402" s="34" t="n">
        <f aca="false">D401*(1+Inputs!$B$23)+MAX(D338-D370,0)</f>
        <v>111496.953005888</v>
      </c>
      <c r="E402" s="34" t="n">
        <f aca="false">E401*(1+Inputs!$B$23)+MAX(E338-E370,0)</f>
        <v>112805.324512932</v>
      </c>
      <c r="F402" s="34" t="n">
        <f aca="false">F401*(1+Inputs!$B$23)+MAX(F338-F370,0)</f>
        <v>113471.288067485</v>
      </c>
      <c r="G402" s="34" t="n">
        <f aca="false">G401*(1+Inputs!$B$23)+MAX(G338-G370,0)</f>
        <v>114144.83733256</v>
      </c>
      <c r="H402" s="34" t="n">
        <f aca="false">H401*(1+Inputs!$B$23)+MAX(H338-H370,0)</f>
        <v>115513.884865413</v>
      </c>
      <c r="I402" s="34" t="n">
        <f aca="false">I401*(1+Inputs!$B$23)+MAX(I338-I370,0)</f>
        <v>116910.84277952</v>
      </c>
    </row>
    <row r="403" customFormat="false" ht="15" hidden="true" customHeight="true" outlineLevel="0" collapsed="false">
      <c r="B403" s="34" t="n">
        <f aca="false">B402*(1+Inputs!$B$23)+MAX(B339-B371,0)</f>
        <v>119388.749276417</v>
      </c>
      <c r="C403" s="34" t="n">
        <f aca="false">C402*(1+Inputs!$B$23)+MAX(C339-C371,0)</f>
        <v>121946.081132008</v>
      </c>
      <c r="D403" s="34" t="n">
        <f aca="false">D402*(1+Inputs!$B$23)+MAX(D339-D371,0)</f>
        <v>124573.936192129</v>
      </c>
      <c r="E403" s="34" t="n">
        <f aca="false">E402*(1+Inputs!$B$23)+MAX(E339-E371,0)</f>
        <v>127269.181496641</v>
      </c>
      <c r="F403" s="34" t="n">
        <f aca="false">F402*(1+Inputs!$B$23)+MAX(F339-F371,0)</f>
        <v>128641.066419018</v>
      </c>
      <c r="G403" s="34" t="n">
        <f aca="false">G402*(1+Inputs!$B$23)+MAX(G339-G371,0)</f>
        <v>130028.577905073</v>
      </c>
      <c r="H403" s="34" t="n">
        <f aca="false">H402*(1+Inputs!$B$23)+MAX(H339-H371,0)</f>
        <v>132848.815822751</v>
      </c>
      <c r="I403" s="34" t="n">
        <f aca="false">I402*(1+Inputs!$B$23)+MAX(I339-I371,0)</f>
        <v>135726.549125811</v>
      </c>
    </row>
    <row r="404" customFormat="false" ht="15" hidden="true" customHeight="true" outlineLevel="0" collapsed="false">
      <c r="B404" s="34" t="n">
        <f aca="false">B403*(1+Inputs!$B$23)+MAX(B340-B372,0)</f>
        <v>129912.096001846</v>
      </c>
      <c r="C404" s="34" t="n">
        <f aca="false">C403*(1+Inputs!$B$23)+MAX(C340-C372,0)</f>
        <v>133864.290999642</v>
      </c>
      <c r="D404" s="34" t="n">
        <f aca="false">D403*(1+Inputs!$B$23)+MAX(D340-D372,0)</f>
        <v>137925.475159545</v>
      </c>
      <c r="E404" s="34" t="n">
        <f aca="false">E403*(1+Inputs!$B$23)+MAX(E340-E372,0)</f>
        <v>142090.806689372</v>
      </c>
      <c r="F404" s="34" t="n">
        <f aca="false">F403*(1+Inputs!$B$23)+MAX(F340-F372,0)</f>
        <v>144210.968261644</v>
      </c>
      <c r="G404" s="34" t="n">
        <f aca="false">G403*(1+Inputs!$B$23)+MAX(G340-G372,0)</f>
        <v>146355.279701937</v>
      </c>
      <c r="H404" s="34" t="n">
        <f aca="false">H403*(1+Inputs!$B$23)+MAX(H340-H372,0)</f>
        <v>150713.77942753</v>
      </c>
      <c r="I404" s="34" t="n">
        <f aca="false">I403*(1+Inputs!$B$23)+MAX(I340-I372,0)</f>
        <v>155161.134642879</v>
      </c>
    </row>
    <row r="405" customFormat="false" ht="15" hidden="true" customHeight="true" outlineLevel="0" collapsed="false">
      <c r="B405" s="34" t="n">
        <f aca="false">B404*(1+Inputs!$B$23)+MAX(B341-B373,0)</f>
        <v>140541.4784245</v>
      </c>
      <c r="C405" s="34" t="n">
        <f aca="false">C404*(1+Inputs!$B$23)+MAX(C341-C373,0)</f>
        <v>145972.228353033</v>
      </c>
      <c r="D405" s="34" t="n">
        <f aca="false">D404*(1+Inputs!$B$23)+MAX(D341-D373,0)</f>
        <v>151552.741358705</v>
      </c>
      <c r="E405" s="34" t="n">
        <f aca="false">E404*(1+Inputs!$B$23)+MAX(E341-E373,0)</f>
        <v>157276.364287366</v>
      </c>
      <c r="F405" s="34" t="n">
        <f aca="false">F404*(1+Inputs!$B$23)+MAX(F341-F373,0)</f>
        <v>160189.699108527</v>
      </c>
      <c r="G405" s="34" t="n">
        <f aca="false">G404*(1+Inputs!$B$23)+MAX(G341-G373,0)</f>
        <v>163136.218500313</v>
      </c>
      <c r="H405" s="34" t="n">
        <f aca="false">H404*(1+Inputs!$B$23)+MAX(H341-H373,0)</f>
        <v>169125.275742294</v>
      </c>
      <c r="I405" s="34" t="n">
        <f aca="false">I404*(1+Inputs!$B$23)+MAX(I341-I373,0)</f>
        <v>175236.430184672</v>
      </c>
    </row>
    <row r="406" customFormat="false" ht="15" hidden="true" customHeight="true" outlineLevel="0" collapsed="false">
      <c r="B406" s="34" t="n">
        <f aca="false">B405*(1+Inputs!$B$23)+MAX(B342-B374,0)</f>
        <v>151267.497733024</v>
      </c>
      <c r="C406" s="34" t="n">
        <f aca="false">C405*(1+Inputs!$B$23)+MAX(C342-C374,0)</f>
        <v>158265.515888139</v>
      </c>
      <c r="D406" s="34" t="n">
        <f aca="false">D405*(1+Inputs!$B$23)+MAX(D342-D374,0)</f>
        <v>165456.517470327</v>
      </c>
      <c r="E406" s="34" t="n">
        <f aca="false">E405*(1+Inputs!$B$23)+MAX(E342-E374,0)</f>
        <v>172831.929281752</v>
      </c>
      <c r="F406" s="34" t="n">
        <f aca="false">F405*(1+Inputs!$B$23)+MAX(F342-F374,0)</f>
        <v>176586.027746735</v>
      </c>
      <c r="G406" s="34" t="n">
        <f aca="false">G405*(1+Inputs!$B$23)+MAX(G342-G374,0)</f>
        <v>180382.887567103</v>
      </c>
      <c r="H406" s="34" t="n">
        <f aca="false">H405*(1+Inputs!$B$23)+MAX(H342-H374,0)</f>
        <v>188100.335776456</v>
      </c>
      <c r="I406" s="34" t="n">
        <f aca="false">I405*(1+Inputs!$B$23)+MAX(I342-I374,0)</f>
        <v>195975.117399483</v>
      </c>
    </row>
    <row r="407" customFormat="false" ht="15" hidden="true" customHeight="true" outlineLevel="0" collapsed="false">
      <c r="B407" s="34" t="n">
        <f aca="false">B406*(1+Inputs!$B$23)+MAX(B343-B375,0)</f>
        <v>162079.718358787</v>
      </c>
      <c r="C407" s="34" t="n">
        <f aca="false">C406*(1+Inputs!$B$23)+MAX(C343-C375,0)</f>
        <v>170739.040834078</v>
      </c>
      <c r="D407" s="34" t="n">
        <f aca="false">D406*(1+Inputs!$B$23)+MAX(D343-D375,0)</f>
        <v>179637.160307371</v>
      </c>
      <c r="E407" s="34" t="n">
        <f aca="false">E406*(1+Inputs!$B$23)+MAX(E343-E375,0)</f>
        <v>188763.468334527</v>
      </c>
      <c r="F407" s="34" t="n">
        <f aca="false">F406*(1+Inputs!$B$23)+MAX(F343-F375,0)</f>
        <v>193408.776261961</v>
      </c>
      <c r="G407" s="34" t="n">
        <f aca="false">G406*(1+Inputs!$B$23)+MAX(G343-G375,0)</f>
        <v>198106.996936626</v>
      </c>
      <c r="H407" s="34" t="n">
        <f aca="false">H406*(1+Inputs!$B$23)+MAX(H343-H375,0)</f>
        <v>207656.539571394</v>
      </c>
      <c r="I407" s="34" t="n">
        <f aca="false">I406*(1+Inputs!$B$23)+MAX(I343-I375,0)</f>
        <v>217400.766005909</v>
      </c>
    </row>
    <row r="408" customFormat="false" ht="15" hidden="true" customHeight="true" outlineLevel="0" collapsed="false">
      <c r="B408" s="34" t="n">
        <f aca="false">B407*(1+Inputs!$B$23)+MAX(B344-B376,0)</f>
        <v>172966.591585583</v>
      </c>
      <c r="C408" s="34" t="n">
        <f aca="false">C407*(1+Inputs!$B$23)+MAX(C344-C376,0)</f>
        <v>183386.896640261</v>
      </c>
      <c r="D408" s="34" t="n">
        <f aca="false">D407*(1+Inputs!$B$23)+MAX(D344-D376,0)</f>
        <v>194094.561078127</v>
      </c>
      <c r="E408" s="34" t="n">
        <f aca="false">E407*(1+Inputs!$B$23)+MAX(E344-E376,0)</f>
        <v>205076.819093956</v>
      </c>
      <c r="F408" s="34" t="n">
        <f aca="false">F407*(1+Inputs!$B$23)+MAX(F344-F376,0)</f>
        <v>210666.809051588</v>
      </c>
      <c r="G408" s="34" t="n">
        <f aca="false">G407*(1+Inputs!$B$23)+MAX(G344-G376,0)</f>
        <v>216320.472231809</v>
      </c>
      <c r="H408" s="34" t="n">
        <f aca="false">H407*(1+Inputs!$B$23)+MAX(H344-H376,0)</f>
        <v>227812.034957517</v>
      </c>
      <c r="I408" s="34" t="n">
        <f aca="false">I407*(1+Inputs!$B$23)+MAX(I344-I376,0)</f>
        <v>239537.872892209</v>
      </c>
    </row>
    <row r="409" customFormat="false" ht="15" hidden="true" customHeight="true" outlineLevel="0" collapsed="false">
      <c r="B409" s="34" t="n">
        <f aca="false">B408*(1+Inputs!$B$23)+MAX(B345-B377,0)</f>
        <v>183915.374150379</v>
      </c>
      <c r="C409" s="34" t="n">
        <f aca="false">C408*(1+Inputs!$B$23)+MAX(C345-C377,0)</f>
        <v>196202.320739207</v>
      </c>
      <c r="D409" s="34" t="n">
        <f aca="false">D408*(1+Inputs!$B$23)+MAX(D345-D377,0)</f>
        <v>208828.102839521</v>
      </c>
      <c r="E409" s="34" t="n">
        <f aca="false">E408*(1+Inputs!$B$23)+MAX(E345-E377,0)</f>
        <v>221777.667843344</v>
      </c>
      <c r="F409" s="34" t="n">
        <f aca="false">F408*(1+Inputs!$B$23)+MAX(F345-F377,0)</f>
        <v>228369.020752986</v>
      </c>
      <c r="G409" s="34" t="n">
        <f aca="false">G408*(1+Inputs!$B$23)+MAX(G345-G377,0)</f>
        <v>235035.452989095</v>
      </c>
      <c r="H409" s="34" t="n">
        <f aca="false">H408*(1+Inputs!$B$23)+MAX(H345-H377,0)</f>
        <v>248585.557011199</v>
      </c>
      <c r="I409" s="34" t="n">
        <f aca="false">I408*(1+Inputs!$B$23)+MAX(I345-I377,0)</f>
        <v>262411.903136079</v>
      </c>
    </row>
    <row r="410" customFormat="false" ht="15" hidden="true" customHeight="true" outlineLevel="0" collapsed="false">
      <c r="B410" s="34" t="n">
        <f aca="false">B409*(1+Inputs!$B$23)+MAX(B346-B378,0)</f>
        <v>194950.296599402</v>
      </c>
      <c r="C410" s="34" t="n">
        <f aca="false">C409*(1+Inputs!$B$23)+MAX(C346-C378,0)</f>
        <v>209177.628136815</v>
      </c>
      <c r="D410" s="34" t="n">
        <f aca="false">D409*(1+Inputs!$B$23)+MAX(D346-D378,0)</f>
        <v>223836.614959323</v>
      </c>
      <c r="E410" s="34" t="n">
        <f aca="false">E409*(1+Inputs!$B$23)+MAX(E346-E378,0)</f>
        <v>238871.52537042</v>
      </c>
      <c r="F410" s="34" t="n">
        <f aca="false">F409*(1+Inputs!$B$23)+MAX(F346-F378,0)</f>
        <v>246524.323009193</v>
      </c>
      <c r="G410" s="34" t="n">
        <f aca="false">G409*(1+Inputs!$B$23)+MAX(G346-G378,0)</f>
        <v>254264.290444544</v>
      </c>
      <c r="H410" s="34" t="n">
        <f aca="false">H409*(1+Inputs!$B$23)+MAX(H346-H378,0)</f>
        <v>269996.448240827</v>
      </c>
      <c r="I410" s="34" t="n">
        <f aca="false">I409*(1+Inputs!$B$23)+MAX(I346-I378,0)</f>
        <v>286049.333047306</v>
      </c>
    </row>
    <row r="411" customFormat="false" ht="15" hidden="true" customHeight="true" outlineLevel="0" collapsed="false">
      <c r="B411" s="34" t="n">
        <f aca="false">B410*(1+Inputs!$B$23)+MAX(B347-B379,0)</f>
        <v>206647.314395366</v>
      </c>
      <c r="C411" s="34" t="n">
        <f aca="false">C410*(1+Inputs!$B$23)+MAX(C347-C379,0)</f>
        <v>222304.140566586</v>
      </c>
      <c r="D411" s="34" t="n">
        <f aca="false">D410*(1+Inputs!$B$23)+MAX(D347-D379,0)</f>
        <v>239118.324394619</v>
      </c>
      <c r="E411" s="34" t="n">
        <f aca="false">E410*(1+Inputs!$B$23)+MAX(E347-E379,0)</f>
        <v>256363.700937427</v>
      </c>
      <c r="F411" s="34" t="n">
        <f aca="false">F410*(1+Inputs!$B$23)+MAX(F347-F379,0)</f>
        <v>265141.629989078</v>
      </c>
      <c r="G411" s="34" t="n">
        <f aca="false">G410*(1+Inputs!$B$23)+MAX(G347-G379,0)</f>
        <v>274019.544735625</v>
      </c>
      <c r="H411" s="34" t="n">
        <f aca="false">H410*(1+Inputs!$B$23)+MAX(H347-H379,0)</f>
        <v>292064.679532539</v>
      </c>
      <c r="I411" s="34" t="n">
        <f aca="false">I410*(1+Inputs!$B$23)+MAX(I347-I379,0)</f>
        <v>310477.695341514</v>
      </c>
    </row>
    <row r="412" customFormat="false" ht="15" hidden="true" customHeight="true" outlineLevel="0" collapsed="false">
      <c r="B412" s="34" t="n">
        <f aca="false">B411*(1+Inputs!$B$23)+MAX(B348-B380,0)</f>
        <v>219046.153259088</v>
      </c>
      <c r="C412" s="34" t="n">
        <f aca="false">C411*(1+Inputs!$B$23)+MAX(C348-C380,0)</f>
        <v>235642.389000581</v>
      </c>
      <c r="D412" s="34" t="n">
        <f aca="false">D411*(1+Inputs!$B$23)+MAX(D348-D380,0)</f>
        <v>254670.803581989</v>
      </c>
      <c r="E412" s="34" t="n">
        <f aca="false">E411*(1+Inputs!$B$23)+MAX(E348-E380,0)</f>
        <v>274259.274224409</v>
      </c>
      <c r="F412" s="34" t="n">
        <f aca="false">F411*(1+Inputs!$B$23)+MAX(F348-F380,0)</f>
        <v>284229.842573712</v>
      </c>
      <c r="G412" s="34" t="n">
        <f aca="false">G411*(1+Inputs!$B$23)+MAX(G348-G380,0)</f>
        <v>294313.981470127</v>
      </c>
      <c r="H412" s="34" t="n">
        <f aca="false">H411*(1+Inputs!$B$23)+MAX(H348-H380,0)</f>
        <v>314810.871887709</v>
      </c>
      <c r="I412" s="34" t="n">
        <f aca="false">I411*(1+Inputs!$B$23)+MAX(I348-I380,0)</f>
        <v>335725.626559329</v>
      </c>
    </row>
    <row r="413" customFormat="false" ht="15" hidden="true" customHeight="true" outlineLevel="0" collapsed="false">
      <c r="B413" s="34" t="n">
        <f aca="false">B412*(1+Inputs!$B$23)+MAX(B349-B381,0)</f>
        <v>232188.922454633</v>
      </c>
      <c r="C413" s="34" t="n">
        <f aca="false">C412*(1+Inputs!$B$23)+MAX(C349-C381,0)</f>
        <v>249780.932340616</v>
      </c>
      <c r="D413" s="34" t="n">
        <f aca="false">D412*(1+Inputs!$B$23)+MAX(D349-D381,0)</f>
        <v>270490.914722135</v>
      </c>
      <c r="E413" s="34" t="n">
        <f aca="false">E412*(1+Inputs!$B$23)+MAX(E349-E381,0)</f>
        <v>292563.065110145</v>
      </c>
      <c r="F413" s="34" t="n">
        <f aca="false">F412*(1+Inputs!$B$23)+MAX(F349-F381,0)</f>
        <v>303797.831114958</v>
      </c>
      <c r="G413" s="34" t="n">
        <f aca="false">G412*(1+Inputs!$B$23)+MAX(G349-G381,0)</f>
        <v>315160.567610233</v>
      </c>
      <c r="H413" s="34" t="n">
        <f aca="false">H412*(1+Inputs!$B$23)+MAX(H349-H381,0)</f>
        <v>338256.318985723</v>
      </c>
      <c r="I413" s="34" t="n">
        <f aca="false">I412*(1+Inputs!$B$23)+MAX(I349-I381,0)</f>
        <v>361822.916851747</v>
      </c>
    </row>
    <row r="414" customFormat="false" ht="15" hidden="true" customHeight="true" outlineLevel="0" collapsed="false">
      <c r="B414" s="34" t="n">
        <f aca="false">B413*(1+Inputs!$B$23)+MAX(B350-B382,0)</f>
        <v>246120.257801911</v>
      </c>
      <c r="C414" s="34" t="n">
        <f aca="false">C413*(1+Inputs!$B$23)+MAX(C350-C382,0)</f>
        <v>264767.788281053</v>
      </c>
      <c r="D414" s="34" t="n">
        <f aca="false">D413*(1+Inputs!$B$23)+MAX(D350-D382,0)</f>
        <v>286720.369605463</v>
      </c>
      <c r="E414" s="34" t="n">
        <f aca="false">E413*(1+Inputs!$B$23)+MAX(E350-E382,0)</f>
        <v>311279.601146605</v>
      </c>
      <c r="F414" s="34" t="n">
        <f aca="false">F413*(1+Inputs!$B$23)+MAX(F350-F382,0)</f>
        <v>323854.416666259</v>
      </c>
      <c r="G414" s="34" t="n">
        <f aca="false">G413*(1+Inputs!$B$23)+MAX(G350-G382,0)</f>
        <v>336572.466616325</v>
      </c>
      <c r="H414" s="34" t="n">
        <f aca="false">H413*(1+Inputs!$B$23)+MAX(H350-H382,0)</f>
        <v>362423.010607199</v>
      </c>
      <c r="I414" s="34" t="n">
        <f aca="false">I413*(1+Inputs!$B$23)+MAX(I350-I382,0)</f>
        <v>388800.56225929</v>
      </c>
    </row>
    <row r="415" customFormat="false" ht="15" hidden="true" customHeight="true" outlineLevel="0" collapsed="false">
      <c r="B415" s="34" t="n">
        <f aca="false">B414*(1+Inputs!$B$23)+MAX(B351-B383,0)</f>
        <v>260887.473270026</v>
      </c>
      <c r="C415" s="34" t="n">
        <f aca="false">C414*(1+Inputs!$B$23)+MAX(C351-C383,0)</f>
        <v>280653.855577916</v>
      </c>
      <c r="D415" s="34" t="n">
        <f aca="false">D414*(1+Inputs!$B$23)+MAX(D351-D383,0)</f>
        <v>303923.591781791</v>
      </c>
      <c r="E415" s="34" t="n">
        <f aca="false">E414*(1+Inputs!$B$23)+MAX(E351-E383,0)</f>
        <v>330413.08257376</v>
      </c>
      <c r="F415" s="34" t="n">
        <f aca="false">F414*(1+Inputs!$B$23)+MAX(F351-F383,0)</f>
        <v>344408.350579145</v>
      </c>
      <c r="G415" s="34" t="n">
        <f aca="false">G414*(1+Inputs!$B$23)+MAX(G351-G383,0)</f>
        <v>358563.032791291</v>
      </c>
      <c r="H415" s="34" t="n">
        <f aca="false">H414*(1+Inputs!$B$23)+MAX(H351-H383,0)</f>
        <v>387333.65695447</v>
      </c>
      <c r="I415" s="34" t="n">
        <f aca="false">I414*(1+Inputs!$B$23)+MAX(I351-I383,0)</f>
        <v>416690.819619794</v>
      </c>
    </row>
    <row r="416" customFormat="false" ht="15" hidden="true" customHeight="true" outlineLevel="0" collapsed="false">
      <c r="B416" s="34" t="n">
        <f aca="false">B415*(1+Inputs!$B$23)+MAX(B352-B384,0)</f>
        <v>276540.721666228</v>
      </c>
      <c r="C416" s="34" t="n">
        <f aca="false">C415*(1+Inputs!$B$23)+MAX(C352-C384,0)</f>
        <v>297493.086912591</v>
      </c>
      <c r="D416" s="34" t="n">
        <f aca="false">D415*(1+Inputs!$B$23)+MAX(D352-D384,0)</f>
        <v>322159.007288698</v>
      </c>
      <c r="E416" s="34" t="n">
        <f aca="false">E415*(1+Inputs!$B$23)+MAX(E352-E384,0)</f>
        <v>350237.867528185</v>
      </c>
      <c r="F416" s="34" t="n">
        <f aca="false">F415*(1+Inputs!$B$23)+MAX(F352-F384,0)</f>
        <v>365468.292352168</v>
      </c>
      <c r="G416" s="34" t="n">
        <f aca="false">G415*(1+Inputs!$B$23)+MAX(G352-G384,0)</f>
        <v>381145.804762117</v>
      </c>
      <c r="H416" s="34" t="n">
        <f aca="false">H415*(1+Inputs!$B$23)+MAX(H352-H384,0)</f>
        <v>413011.713907941</v>
      </c>
      <c r="I416" s="34" t="n">
        <f aca="false">I415*(1+Inputs!$B$23)+MAX(I352-I384,0)</f>
        <v>445527.26424729</v>
      </c>
    </row>
    <row r="417" customFormat="false" ht="15" hidden="true" customHeight="true" outlineLevel="0" collapsed="false">
      <c r="B417" s="34" t="n">
        <f aca="false">B416*(1+Inputs!$B$23)+MAX(B353-B385,0)</f>
        <v>293133.164966201</v>
      </c>
      <c r="C417" s="34" t="n">
        <f aca="false">C416*(1+Inputs!$B$23)+MAX(C353-C385,0)</f>
        <v>315342.672127347</v>
      </c>
      <c r="D417" s="34" t="n">
        <f aca="false">D416*(1+Inputs!$B$23)+MAX(D353-D385,0)</f>
        <v>341488.54772602</v>
      </c>
      <c r="E417" s="34" t="n">
        <f aca="false">E416*(1+Inputs!$B$23)+MAX(E353-E385,0)</f>
        <v>371252.139579877</v>
      </c>
      <c r="F417" s="34" t="n">
        <f aca="false">F416*(1+Inputs!$B$23)+MAX(F353-F385,0)</f>
        <v>387396.389893298</v>
      </c>
      <c r="G417" s="34" t="n">
        <f aca="false">G416*(1+Inputs!$B$23)+MAX(G353-G385,0)</f>
        <v>404334.498031317</v>
      </c>
      <c r="H417" s="34" t="n">
        <f aca="false">H416*(1+Inputs!$B$23)+MAX(H353-H385,0)</f>
        <v>439481.409258743</v>
      </c>
      <c r="I417" s="34" t="n">
        <f aca="false">I416*(1+Inputs!$B$23)+MAX(I353-I385,0)</f>
        <v>475344.85053256</v>
      </c>
    </row>
    <row r="418" customFormat="false" ht="15" hidden="true" customHeight="true" outlineLevel="0" collapsed="false">
      <c r="B418" s="34" t="n">
        <f aca="false">B417*(1+Inputs!$B$23)+MAX(B354-B386,0)</f>
        <v>310721.154864174</v>
      </c>
      <c r="C418" s="34" t="n">
        <f aca="false">C417*(1+Inputs!$B$23)+MAX(C354-C386,0)</f>
        <v>334263.232454988</v>
      </c>
      <c r="D418" s="34" t="n">
        <f aca="false">D417*(1+Inputs!$B$23)+MAX(D354-D386,0)</f>
        <v>361977.860589581</v>
      </c>
      <c r="E418" s="34" t="n">
        <f aca="false">E417*(1+Inputs!$B$23)+MAX(E354-E386,0)</f>
        <v>393527.267954669</v>
      </c>
      <c r="F418" s="34" t="n">
        <f aca="false">F417*(1+Inputs!$B$23)+MAX(F354-F386,0)</f>
        <v>410640.173286896</v>
      </c>
      <c r="G418" s="34" t="n">
        <f aca="false">G417*(1+Inputs!$B$23)+MAX(G354-G386,0)</f>
        <v>428594.567913196</v>
      </c>
      <c r="H418" s="34" t="n">
        <f aca="false">H417*(1+Inputs!$B$23)+MAX(H354-H386,0)</f>
        <v>466767.769960121</v>
      </c>
      <c r="I418" s="34" t="n">
        <f aca="false">I417*(1+Inputs!$B$23)+MAX(I354-I386,0)</f>
        <v>506179.975624474</v>
      </c>
    </row>
    <row r="419" customFormat="false" ht="15" hidden="true" customHeight="true" outlineLevel="0" collapsed="false">
      <c r="B419" s="34" t="n">
        <f aca="false">B418*(1+Inputs!$B$23)+MAX(B355-B387,0)</f>
        <v>329364.424156024</v>
      </c>
      <c r="C419" s="34" t="n">
        <f aca="false">C418*(1+Inputs!$B$23)+MAX(C355-C387,0)</f>
        <v>354319.026402287</v>
      </c>
      <c r="D419" s="34" t="n">
        <f aca="false">D418*(1+Inputs!$B$23)+MAX(D355-D387,0)</f>
        <v>383696.532224956</v>
      </c>
      <c r="E419" s="34" t="n">
        <f aca="false">E418*(1+Inputs!$B$23)+MAX(E355-E387,0)</f>
        <v>417138.904031949</v>
      </c>
      <c r="F419" s="34" t="n">
        <f aca="false">F418*(1+Inputs!$B$23)+MAX(F355-F387,0)</f>
        <v>435278.583684109</v>
      </c>
      <c r="G419" s="34" t="n">
        <f aca="false">G418*(1+Inputs!$B$23)+MAX(G355-G387,0)</f>
        <v>454310.241987988</v>
      </c>
      <c r="H419" s="34" t="n">
        <f aca="false">H418*(1+Inputs!$B$23)+MAX(H355-H387,0)</f>
        <v>494896.650441995</v>
      </c>
      <c r="I419" s="34" t="n">
        <f aca="false">I418*(1+Inputs!$B$23)+MAX(I355-I387,0)</f>
        <v>538070.546360316</v>
      </c>
    </row>
    <row r="420" customFormat="false" ht="15" hidden="true" customHeight="true" outlineLevel="0" collapsed="false">
      <c r="B420" s="34" t="n">
        <f aca="false">B419*(1+Inputs!$B$23)+MAX(B356-B388,0)</f>
        <v>349126.289605385</v>
      </c>
      <c r="C420" s="34" t="n">
        <f aca="false">C419*(1+Inputs!$B$23)+MAX(C356-C388,0)</f>
        <v>375578.167986424</v>
      </c>
      <c r="D420" s="34" t="n">
        <f aca="false">D419*(1+Inputs!$B$23)+MAX(D356-D388,0)</f>
        <v>406718.324158453</v>
      </c>
      <c r="E420" s="34" t="n">
        <f aca="false">E419*(1+Inputs!$B$23)+MAX(E356-E388,0)</f>
        <v>442167.238273866</v>
      </c>
      <c r="F420" s="34" t="n">
        <f aca="false">F419*(1+Inputs!$B$23)+MAX(F356-F388,0)</f>
        <v>461395.298705156</v>
      </c>
      <c r="G420" s="34" t="n">
        <f aca="false">G419*(1+Inputs!$B$23)+MAX(G356-G388,0)</f>
        <v>481568.856507267</v>
      </c>
      <c r="H420" s="34" t="n">
        <f aca="false">H419*(1+Inputs!$B$23)+MAX(H356-H388,0)</f>
        <v>524590.449468515</v>
      </c>
      <c r="I420" s="34" t="n">
        <f aca="false">I419*(1+Inputs!$B$23)+MAX(I356-I388,0)</f>
        <v>571056.049622873</v>
      </c>
    </row>
    <row r="421" customFormat="false" ht="15" hidden="true" customHeight="true" outlineLevel="0" collapsed="false">
      <c r="B421" s="34" t="n">
        <f aca="false">B420*(1+Inputs!$B$23)+MAX(B357-B389,0)</f>
        <v>370073.866981709</v>
      </c>
      <c r="C421" s="34" t="n">
        <f aca="false">C420*(1+Inputs!$B$23)+MAX(C357-C389,0)</f>
        <v>398112.85806561</v>
      </c>
      <c r="D421" s="34" t="n">
        <f aca="false">D420*(1+Inputs!$B$23)+MAX(D357-D389,0)</f>
        <v>431121.42360796</v>
      </c>
      <c r="E421" s="34" t="n">
        <f aca="false">E420*(1+Inputs!$B$23)+MAX(E357-E389,0)</f>
        <v>468697.272570298</v>
      </c>
      <c r="F421" s="34" t="n">
        <f aca="false">F420*(1+Inputs!$B$23)+MAX(F357-F389,0)</f>
        <v>489079.016627465</v>
      </c>
      <c r="G421" s="34" t="n">
        <f aca="false">G420*(1+Inputs!$B$23)+MAX(G357-G389,0)</f>
        <v>510462.987897703</v>
      </c>
      <c r="H421" s="34" t="n">
        <f aca="false">H420*(1+Inputs!$B$23)+MAX(H357-H389,0)</f>
        <v>556065.876436626</v>
      </c>
      <c r="I421" s="34" t="n">
        <f aca="false">I420*(1+Inputs!$B$23)+MAX(I357-I389,0)</f>
        <v>605319.412600246</v>
      </c>
    </row>
    <row r="422" customFormat="false" ht="15" hidden="true" customHeight="true" outlineLevel="0" collapsed="false">
      <c r="B422" s="34" t="n">
        <f aca="false">B421*(1+Inputs!$B$23)+MAX(B358-B390,0)</f>
        <v>392278.299000611</v>
      </c>
      <c r="C422" s="34" t="n">
        <f aca="false">C421*(1+Inputs!$B$23)+MAX(C358-C390,0)</f>
        <v>421999.629549546</v>
      </c>
      <c r="D422" s="34" t="n">
        <f aca="false">D421*(1+Inputs!$B$23)+MAX(D358-D390,0)</f>
        <v>456988.709024438</v>
      </c>
      <c r="E422" s="34" t="n">
        <f aca="false">E421*(1+Inputs!$B$23)+MAX(E358-E390,0)</f>
        <v>496819.108924516</v>
      </c>
      <c r="F422" s="34" t="n">
        <f aca="false">F421*(1+Inputs!$B$23)+MAX(F358-F390,0)</f>
        <v>518423.757625113</v>
      </c>
      <c r="G422" s="34" t="n">
        <f aca="false">G421*(1+Inputs!$B$23)+MAX(G358-G390,0)</f>
        <v>541090.767171565</v>
      </c>
      <c r="H422" s="34" t="n">
        <f aca="false">H421*(1+Inputs!$B$23)+MAX(H358-H390,0)</f>
        <v>589429.829022823</v>
      </c>
      <c r="I422" s="34" t="n">
        <f aca="false">I421*(1+Inputs!$B$23)+MAX(I358-I390,0)</f>
        <v>641638.577356261</v>
      </c>
    </row>
    <row r="423" customFormat="false" ht="15" hidden="true" customHeight="true" outlineLevel="0" collapsed="false">
      <c r="B423" s="34" t="n">
        <f aca="false">B422*(1+Inputs!$B$23)+MAX(B359-B391,0)</f>
        <v>415814.996940648</v>
      </c>
      <c r="C423" s="34" t="n">
        <f aca="false">C422*(1+Inputs!$B$23)+MAX(C359-C391,0)</f>
        <v>447319.607322519</v>
      </c>
      <c r="D423" s="34" t="n">
        <f aca="false">D422*(1+Inputs!$B$23)+MAX(D359-D391,0)</f>
        <v>484408.031565904</v>
      </c>
      <c r="E423" s="34" t="n">
        <f aca="false">E422*(1+Inputs!$B$23)+MAX(E359-E391,0)</f>
        <v>526628.255459987</v>
      </c>
      <c r="F423" s="34" t="n">
        <f aca="false">F422*(1+Inputs!$B$23)+MAX(F359-F391,0)</f>
        <v>549529.18308262</v>
      </c>
      <c r="G423" s="34" t="n">
        <f aca="false">G422*(1+Inputs!$B$23)+MAX(G359-G391,0)</f>
        <v>573556.213201859</v>
      </c>
      <c r="H423" s="34" t="n">
        <f aca="false">H422*(1+Inputs!$B$23)+MAX(H359-H391,0)</f>
        <v>624795.618764193</v>
      </c>
      <c r="I423" s="34" t="n">
        <f aca="false">I422*(1+Inputs!$B$23)+MAX(I359-I391,0)</f>
        <v>680136.891997636</v>
      </c>
    </row>
    <row r="424" customFormat="false" ht="15" hidden="true" customHeight="true" outlineLevel="0" collapsed="false">
      <c r="B424" s="34" t="n">
        <f aca="false">B423*(1+Inputs!$B$23)+MAX(B360-B392,0)</f>
        <v>440763.896757087</v>
      </c>
      <c r="C424" s="34" t="n">
        <f aca="false">C423*(1+Inputs!$B$23)+MAX(C360-C392,0)</f>
        <v>474158.78376187</v>
      </c>
      <c r="D424" s="34" t="n">
        <f aca="false">D423*(1+Inputs!$B$23)+MAX(D360-D392,0)</f>
        <v>513472.513459859</v>
      </c>
      <c r="E424" s="34" t="n">
        <f aca="false">E423*(1+Inputs!$B$23)+MAX(E360-E392,0)</f>
        <v>558225.950787587</v>
      </c>
      <c r="F424" s="34" t="n">
        <f aca="false">F423*(1+Inputs!$B$23)+MAX(F360-F392,0)</f>
        <v>582500.934067577</v>
      </c>
      <c r="G424" s="34" t="n">
        <f aca="false">G423*(1+Inputs!$B$23)+MAX(G360-G392,0)</f>
        <v>607969.585993971</v>
      </c>
      <c r="H424" s="34" t="n">
        <f aca="false">H423*(1+Inputs!$B$23)+MAX(H360-H392,0)</f>
        <v>662283.355890044</v>
      </c>
      <c r="I424" s="34" t="n">
        <f aca="false">I423*(1+Inputs!$B$23)+MAX(I360-I392,0)</f>
        <v>720945.105517495</v>
      </c>
    </row>
    <row r="425" customFormat="false" ht="15" hidden="true" customHeight="true" outlineLevel="0" collapsed="false">
      <c r="B425" s="34" t="n">
        <f aca="false">B424*(1+Inputs!$B$23)+MAX(B361-B393,0)</f>
        <v>467209.730562512</v>
      </c>
      <c r="C425" s="34" t="n">
        <f aca="false">C424*(1+Inputs!$B$23)+MAX(C361-C393,0)</f>
        <v>502608.310787583</v>
      </c>
      <c r="D425" s="34" t="n">
        <f aca="false">D424*(1+Inputs!$B$23)+MAX(D361-D393,0)</f>
        <v>544280.86426745</v>
      </c>
      <c r="E425" s="34" t="n">
        <f aca="false">E424*(1+Inputs!$B$23)+MAX(E361-E393,0)</f>
        <v>591719.507834842</v>
      </c>
      <c r="F425" s="34" t="n">
        <f aca="false">F424*(1+Inputs!$B$23)+MAX(F361-F393,0)</f>
        <v>617450.990111632</v>
      </c>
      <c r="G425" s="34" t="n">
        <f aca="false">G424*(1+Inputs!$B$23)+MAX(G361-G393,0)</f>
        <v>644447.761153609</v>
      </c>
      <c r="H425" s="34" t="n">
        <f aca="false">H424*(1+Inputs!$B$23)+MAX(H361-H393,0)</f>
        <v>702020.357243447</v>
      </c>
      <c r="I425" s="34" t="n">
        <f aca="false">I424*(1+Inputs!$B$23)+MAX(I361-I393,0)</f>
        <v>764201.811848544</v>
      </c>
    </row>
    <row r="426" customFormat="false" ht="15" hidden="true" customHeight="true" outlineLevel="0" collapsed="false">
      <c r="B426" s="34" t="n">
        <f aca="false">B425*(1+Inputs!$B$23)+MAX(B362-B394,0)</f>
        <v>495242.314396263</v>
      </c>
      <c r="C426" s="34" t="n">
        <f aca="false">C425*(1+Inputs!$B$23)+MAX(C362-C394,0)</f>
        <v>532764.809434838</v>
      </c>
      <c r="D426" s="34" t="n">
        <f aca="false">D425*(1+Inputs!$B$23)+MAX(D362-D394,0)</f>
        <v>576937.716123497</v>
      </c>
      <c r="E426" s="34" t="n">
        <f aca="false">E425*(1+Inputs!$B$23)+MAX(E362-E394,0)</f>
        <v>627222.678304932</v>
      </c>
      <c r="F426" s="34" t="n">
        <f aca="false">F425*(1+Inputs!$B$23)+MAX(F362-F394,0)</f>
        <v>654498.04951833</v>
      </c>
      <c r="G426" s="34" t="n">
        <f aca="false">G425*(1+Inputs!$B$23)+MAX(G362-G394,0)</f>
        <v>683114.626822826</v>
      </c>
      <c r="H426" s="34" t="n">
        <f aca="false">H425*(1+Inputs!$B$23)+MAX(H362-H394,0)</f>
        <v>744141.578678054</v>
      </c>
      <c r="I426" s="34" t="n">
        <f aca="false">I425*(1+Inputs!$B$23)+MAX(I362-I394,0)</f>
        <v>810053.920559457</v>
      </c>
    </row>
    <row r="427" customFormat="false" ht="15" hidden="true" customHeight="true" outlineLevel="0" collapsed="false">
      <c r="B427" s="34" t="n">
        <f aca="false">B426*(1+Inputs!$B$23)+MAX(B363-B395,0)</f>
        <v>524956.853260039</v>
      </c>
      <c r="C427" s="34" t="n">
        <f aca="false">C426*(1+Inputs!$B$23)+MAX(C363-C395,0)</f>
        <v>564730.698000928</v>
      </c>
      <c r="D427" s="34" t="n">
        <f aca="false">D426*(1+Inputs!$B$23)+MAX(D363-D395,0)</f>
        <v>611553.979090907</v>
      </c>
      <c r="E427" s="34" t="n">
        <f aca="false">E426*(1+Inputs!$B$23)+MAX(E363-E395,0)</f>
        <v>664856.039003228</v>
      </c>
      <c r="F427" s="34" t="n">
        <f aca="false">F426*(1+Inputs!$B$23)+MAX(F363-F395,0)</f>
        <v>693767.93248943</v>
      </c>
      <c r="G427" s="34" t="n">
        <f aca="false">G426*(1+Inputs!$B$23)+MAX(G363-G395,0)</f>
        <v>724101.504432195</v>
      </c>
      <c r="H427" s="34" t="n">
        <f aca="false">H426*(1+Inputs!$B$23)+MAX(H363-H395,0)</f>
        <v>788790.073398737</v>
      </c>
      <c r="I427" s="34" t="n">
        <f aca="false">I426*(1+Inputs!$B$23)+MAX(I363-I395,0)</f>
        <v>858657.155793024</v>
      </c>
    </row>
    <row r="428" customFormat="false" ht="15" hidden="true" customHeight="true" outlineLevel="0" collapsed="false">
      <c r="B428" s="34" t="n">
        <f aca="false">B427*(1+Inputs!$B$23)+MAX(B364-B396,0)</f>
        <v>556454.264455641</v>
      </c>
      <c r="C428" s="34" t="n">
        <f aca="false">C427*(1+Inputs!$B$23)+MAX(C364-C396,0)</f>
        <v>598614.539880984</v>
      </c>
      <c r="D428" s="34" t="n">
        <f aca="false">D427*(1+Inputs!$B$23)+MAX(D364-D396,0)</f>
        <v>648247.217836362</v>
      </c>
      <c r="E428" s="34" t="n">
        <f aca="false">E427*(1+Inputs!$B$23)+MAX(E364-E396,0)</f>
        <v>704747.401343422</v>
      </c>
      <c r="F428" s="34" t="n">
        <f aca="false">F427*(1+Inputs!$B$23)+MAX(F364-F396,0)</f>
        <v>735394.008438796</v>
      </c>
      <c r="G428" s="34" t="n">
        <f aca="false">G427*(1+Inputs!$B$23)+MAX(G364-G396,0)</f>
        <v>767547.594698127</v>
      </c>
      <c r="H428" s="34" t="n">
        <f aca="false">H427*(1+Inputs!$B$23)+MAX(H364-H396,0)</f>
        <v>836117.477802662</v>
      </c>
      <c r="I428" s="34" t="n">
        <f aca="false">I427*(1+Inputs!$B$23)+MAX(I364-I396,0)</f>
        <v>910176.585140606</v>
      </c>
    </row>
    <row r="429" customFormat="false" ht="15" hidden="true" customHeight="true" outlineLevel="0" collapsed="false">
      <c r="B429" s="34" t="n">
        <f aca="false">B428*(1+Inputs!$B$23)+MAX(B365-B397,0)</f>
        <v>589841.520322979</v>
      </c>
      <c r="C429" s="34" t="n">
        <f aca="false">C428*(1+Inputs!$B$23)+MAX(C365-C397,0)</f>
        <v>634531.412273843</v>
      </c>
      <c r="D429" s="34" t="n">
        <f aca="false">D428*(1+Inputs!$B$23)+MAX(D365-D397,0)</f>
        <v>687142.050906544</v>
      </c>
      <c r="E429" s="34" t="n">
        <f aca="false">E428*(1+Inputs!$B$23)+MAX(E365-E397,0)</f>
        <v>747032.245424027</v>
      </c>
      <c r="F429" s="34" t="n">
        <f aca="false">F428*(1+Inputs!$B$23)+MAX(F365-F397,0)</f>
        <v>779517.648945123</v>
      </c>
      <c r="G429" s="34" t="n">
        <f aca="false">G428*(1+Inputs!$B$23)+MAX(G365-G397,0)</f>
        <v>813600.450380015</v>
      </c>
      <c r="H429" s="34" t="n">
        <f aca="false">H428*(1+Inputs!$B$23)+MAX(H365-H397,0)</f>
        <v>886284.526470821</v>
      </c>
      <c r="I429" s="34" t="n">
        <f aca="false">I428*(1+Inputs!$B$23)+MAX(I365-I397,0)</f>
        <v>964787.180249042</v>
      </c>
    </row>
    <row r="430" customFormat="false" ht="15" hidden="true" customHeight="true" outlineLevel="0" collapsed="false">
      <c r="B430" s="34" t="n">
        <f aca="false">B429*(1+Inputs!$B$23)+MAX(B366-B398,0)</f>
        <v>625232.011542358</v>
      </c>
      <c r="C430" s="34" t="n">
        <f aca="false">C429*(1+Inputs!$B$23)+MAX(C366-C398,0)</f>
        <v>672603.297010273</v>
      </c>
      <c r="D430" s="34" t="n">
        <f aca="false">D429*(1+Inputs!$B$23)+MAX(D366-D398,0)</f>
        <v>728370.573960936</v>
      </c>
      <c r="E430" s="34" t="n">
        <f aca="false">E429*(1+Inputs!$B$23)+MAX(E366-E398,0)</f>
        <v>791854.180149469</v>
      </c>
      <c r="F430" s="34" t="n">
        <f aca="false">F429*(1+Inputs!$B$23)+MAX(F366-F398,0)</f>
        <v>826288.707881831</v>
      </c>
      <c r="G430" s="34" t="n">
        <f aca="false">G429*(1+Inputs!$B$23)+MAX(G366-G398,0)</f>
        <v>862416.477402816</v>
      </c>
      <c r="H430" s="34" t="n">
        <f aca="false">H429*(1+Inputs!$B$23)+MAX(H366-H398,0)</f>
        <v>939461.598059071</v>
      </c>
      <c r="I430" s="34" t="n">
        <f aca="false">I429*(1+Inputs!$B$23)+MAX(I366-I398,0)</f>
        <v>1022674.41106398</v>
      </c>
    </row>
    <row r="431" customFormat="false" ht="15" hidden="true" customHeight="true" outlineLevel="0" collapsed="false">
      <c r="B431" s="34" t="n">
        <f aca="false">B430*(1+Inputs!$B$23)+MAX(B367-B399,0)</f>
        <v>662745.9322349</v>
      </c>
      <c r="C431" s="34" t="n">
        <f aca="false">C430*(1+Inputs!$B$23)+MAX(C367-C399,0)</f>
        <v>712959.49483089</v>
      </c>
      <c r="D431" s="34" t="n">
        <f aca="false">D430*(1+Inputs!$B$23)+MAX(D367-D399,0)</f>
        <v>772072.808398592</v>
      </c>
      <c r="E431" s="34" t="n">
        <f aca="false">E430*(1+Inputs!$B$23)+MAX(E367-E399,0)</f>
        <v>839365.430958437</v>
      </c>
      <c r="F431" s="34" t="n">
        <f aca="false">F430*(1+Inputs!$B$23)+MAX(F367-F399,0)</f>
        <v>875866.030354741</v>
      </c>
      <c r="G431" s="34" t="n">
        <f aca="false">G430*(1+Inputs!$B$23)+MAX(G367-G399,0)</f>
        <v>914161.466046985</v>
      </c>
      <c r="H431" s="34" t="n">
        <f aca="false">H430*(1+Inputs!$B$23)+MAX(H367-H399,0)</f>
        <v>995829.293942615</v>
      </c>
      <c r="I431" s="34" t="n">
        <f aca="false">I430*(1+Inputs!$B$23)+MAX(I367-I399,0)</f>
        <v>1084034.87572782</v>
      </c>
    </row>
    <row r="432" customFormat="false" ht="15" hidden="true" customHeight="true" outlineLevel="0" collapsed="false"/>
    <row r="433" customFormat="false" ht="15" hidden="true" customHeight="true" outlineLevel="0" collapsed="false">
      <c r="A433" s="33" t="s">
        <v>96</v>
      </c>
      <c r="B433" s="34" t="n">
        <v>0</v>
      </c>
      <c r="C433" s="34" t="n">
        <v>0</v>
      </c>
      <c r="D433" s="34" t="n">
        <v>0</v>
      </c>
      <c r="E433" s="34" t="n">
        <v>0</v>
      </c>
      <c r="F433" s="34" t="n">
        <v>0</v>
      </c>
      <c r="G433" s="34" t="n">
        <v>0</v>
      </c>
      <c r="H433" s="34" t="n">
        <v>0</v>
      </c>
      <c r="I433" s="34" t="n">
        <v>0</v>
      </c>
    </row>
    <row r="434" customFormat="false" ht="15" hidden="true" customHeight="true" outlineLevel="0" collapsed="false">
      <c r="B434" s="34" t="n">
        <f aca="false">B433*(1+Inputs!$B$23)+MAX(B370-B338,0)</f>
        <v>0</v>
      </c>
      <c r="C434" s="34" t="n">
        <f aca="false">C433*(1+Inputs!$B$23)+MAX(C370-C338,0)</f>
        <v>0</v>
      </c>
      <c r="D434" s="34" t="n">
        <f aca="false">D433*(1+Inputs!$B$23)+MAX(D370-D338,0)</f>
        <v>0</v>
      </c>
      <c r="E434" s="34" t="n">
        <f aca="false">E433*(1+Inputs!$B$23)+MAX(E370-E338,0)</f>
        <v>0</v>
      </c>
      <c r="F434" s="34" t="n">
        <f aca="false">F433*(1+Inputs!$B$23)+MAX(F370-F338,0)</f>
        <v>0</v>
      </c>
      <c r="G434" s="34" t="n">
        <f aca="false">G433*(1+Inputs!$B$23)+MAX(G370-G338,0)</f>
        <v>0</v>
      </c>
      <c r="H434" s="34" t="n">
        <f aca="false">H433*(1+Inputs!$B$23)+MAX(H370-H338,0)</f>
        <v>0</v>
      </c>
      <c r="I434" s="34" t="n">
        <f aca="false">I433*(1+Inputs!$B$23)+MAX(I370-I338,0)</f>
        <v>0</v>
      </c>
    </row>
    <row r="435" customFormat="false" ht="15" hidden="true" customHeight="true" outlineLevel="0" collapsed="false">
      <c r="B435" s="34" t="n">
        <f aca="false">B434*(1+Inputs!$B$23)+MAX(B371-B339,0)</f>
        <v>0</v>
      </c>
      <c r="C435" s="34" t="n">
        <f aca="false">C434*(1+Inputs!$B$23)+MAX(C371-C339,0)</f>
        <v>0</v>
      </c>
      <c r="D435" s="34" t="n">
        <f aca="false">D434*(1+Inputs!$B$23)+MAX(D371-D339,0)</f>
        <v>0</v>
      </c>
      <c r="E435" s="34" t="n">
        <f aca="false">E434*(1+Inputs!$B$23)+MAX(E371-E339,0)</f>
        <v>0</v>
      </c>
      <c r="F435" s="34" t="n">
        <f aca="false">F434*(1+Inputs!$B$23)+MAX(F371-F339,0)</f>
        <v>0</v>
      </c>
      <c r="G435" s="34" t="n">
        <f aca="false">G434*(1+Inputs!$B$23)+MAX(G371-G339,0)</f>
        <v>0</v>
      </c>
      <c r="H435" s="34" t="n">
        <f aca="false">H434*(1+Inputs!$B$23)+MAX(H371-H339,0)</f>
        <v>0</v>
      </c>
      <c r="I435" s="34" t="n">
        <f aca="false">I434*(1+Inputs!$B$23)+MAX(I371-I339,0)</f>
        <v>0</v>
      </c>
    </row>
    <row r="436" customFormat="false" ht="15" hidden="true" customHeight="true" outlineLevel="0" collapsed="false">
      <c r="B436" s="34" t="n">
        <f aca="false">B435*(1+Inputs!$B$23)+MAX(B372-B340,0)</f>
        <v>0</v>
      </c>
      <c r="C436" s="34" t="n">
        <f aca="false">C435*(1+Inputs!$B$23)+MAX(C372-C340,0)</f>
        <v>0</v>
      </c>
      <c r="D436" s="34" t="n">
        <f aca="false">D435*(1+Inputs!$B$23)+MAX(D372-D340,0)</f>
        <v>0</v>
      </c>
      <c r="E436" s="34" t="n">
        <f aca="false">E435*(1+Inputs!$B$23)+MAX(E372-E340,0)</f>
        <v>0</v>
      </c>
      <c r="F436" s="34" t="n">
        <f aca="false">F435*(1+Inputs!$B$23)+MAX(F372-F340,0)</f>
        <v>0</v>
      </c>
      <c r="G436" s="34" t="n">
        <f aca="false">G435*(1+Inputs!$B$23)+MAX(G372-G340,0)</f>
        <v>0</v>
      </c>
      <c r="H436" s="34" t="n">
        <f aca="false">H435*(1+Inputs!$B$23)+MAX(H372-H340,0)</f>
        <v>0</v>
      </c>
      <c r="I436" s="34" t="n">
        <f aca="false">I435*(1+Inputs!$B$23)+MAX(I372-I340,0)</f>
        <v>0</v>
      </c>
    </row>
    <row r="437" customFormat="false" ht="15" hidden="true" customHeight="true" outlineLevel="0" collapsed="false">
      <c r="B437" s="34" t="n">
        <f aca="false">B436*(1+Inputs!$B$23)+MAX(B373-B341,0)</f>
        <v>0</v>
      </c>
      <c r="C437" s="34" t="n">
        <f aca="false">C436*(1+Inputs!$B$23)+MAX(C373-C341,0)</f>
        <v>0</v>
      </c>
      <c r="D437" s="34" t="n">
        <f aca="false">D436*(1+Inputs!$B$23)+MAX(D373-D341,0)</f>
        <v>0</v>
      </c>
      <c r="E437" s="34" t="n">
        <f aca="false">E436*(1+Inputs!$B$23)+MAX(E373-E341,0)</f>
        <v>0</v>
      </c>
      <c r="F437" s="34" t="n">
        <f aca="false">F436*(1+Inputs!$B$23)+MAX(F373-F341,0)</f>
        <v>0</v>
      </c>
      <c r="G437" s="34" t="n">
        <f aca="false">G436*(1+Inputs!$B$23)+MAX(G373-G341,0)</f>
        <v>0</v>
      </c>
      <c r="H437" s="34" t="n">
        <f aca="false">H436*(1+Inputs!$B$23)+MAX(H373-H341,0)</f>
        <v>0</v>
      </c>
      <c r="I437" s="34" t="n">
        <f aca="false">I436*(1+Inputs!$B$23)+MAX(I373-I341,0)</f>
        <v>0</v>
      </c>
    </row>
    <row r="438" customFormat="false" ht="15" hidden="true" customHeight="true" outlineLevel="0" collapsed="false">
      <c r="B438" s="34" t="n">
        <f aca="false">B437*(1+Inputs!$B$23)+MAX(B374-B342,0)</f>
        <v>0</v>
      </c>
      <c r="C438" s="34" t="n">
        <f aca="false">C437*(1+Inputs!$B$23)+MAX(C374-C342,0)</f>
        <v>0</v>
      </c>
      <c r="D438" s="34" t="n">
        <f aca="false">D437*(1+Inputs!$B$23)+MAX(D374-D342,0)</f>
        <v>0</v>
      </c>
      <c r="E438" s="34" t="n">
        <f aca="false">E437*(1+Inputs!$B$23)+MAX(E374-E342,0)</f>
        <v>0</v>
      </c>
      <c r="F438" s="34" t="n">
        <f aca="false">F437*(1+Inputs!$B$23)+MAX(F374-F342,0)</f>
        <v>0</v>
      </c>
      <c r="G438" s="34" t="n">
        <f aca="false">G437*(1+Inputs!$B$23)+MAX(G374-G342,0)</f>
        <v>0</v>
      </c>
      <c r="H438" s="34" t="n">
        <f aca="false">H437*(1+Inputs!$B$23)+MAX(H374-H342,0)</f>
        <v>0</v>
      </c>
      <c r="I438" s="34" t="n">
        <f aca="false">I437*(1+Inputs!$B$23)+MAX(I374-I342,0)</f>
        <v>0</v>
      </c>
    </row>
    <row r="439" customFormat="false" ht="15" hidden="true" customHeight="true" outlineLevel="0" collapsed="false">
      <c r="B439" s="34" t="n">
        <f aca="false">B438*(1+Inputs!$B$23)+MAX(B375-B343,0)</f>
        <v>0</v>
      </c>
      <c r="C439" s="34" t="n">
        <f aca="false">C438*(1+Inputs!$B$23)+MAX(C375-C343,0)</f>
        <v>0</v>
      </c>
      <c r="D439" s="34" t="n">
        <f aca="false">D438*(1+Inputs!$B$23)+MAX(D375-D343,0)</f>
        <v>0</v>
      </c>
      <c r="E439" s="34" t="n">
        <f aca="false">E438*(1+Inputs!$B$23)+MAX(E375-E343,0)</f>
        <v>0</v>
      </c>
      <c r="F439" s="34" t="n">
        <f aca="false">F438*(1+Inputs!$B$23)+MAX(F375-F343,0)</f>
        <v>0</v>
      </c>
      <c r="G439" s="34" t="n">
        <f aca="false">G438*(1+Inputs!$B$23)+MAX(G375-G343,0)</f>
        <v>0</v>
      </c>
      <c r="H439" s="34" t="n">
        <f aca="false">H438*(1+Inputs!$B$23)+MAX(H375-H343,0)</f>
        <v>0</v>
      </c>
      <c r="I439" s="34" t="n">
        <f aca="false">I438*(1+Inputs!$B$23)+MAX(I375-I343,0)</f>
        <v>0</v>
      </c>
    </row>
    <row r="440" customFormat="false" ht="15" hidden="true" customHeight="true" outlineLevel="0" collapsed="false">
      <c r="B440" s="34" t="n">
        <f aca="false">B439*(1+Inputs!$B$23)+MAX(B376-B344,0)</f>
        <v>0</v>
      </c>
      <c r="C440" s="34" t="n">
        <f aca="false">C439*(1+Inputs!$B$23)+MAX(C376-C344,0)</f>
        <v>0</v>
      </c>
      <c r="D440" s="34" t="n">
        <f aca="false">D439*(1+Inputs!$B$23)+MAX(D376-D344,0)</f>
        <v>0</v>
      </c>
      <c r="E440" s="34" t="n">
        <f aca="false">E439*(1+Inputs!$B$23)+MAX(E376-E344,0)</f>
        <v>0</v>
      </c>
      <c r="F440" s="34" t="n">
        <f aca="false">F439*(1+Inputs!$B$23)+MAX(F376-F344,0)</f>
        <v>0</v>
      </c>
      <c r="G440" s="34" t="n">
        <f aca="false">G439*(1+Inputs!$B$23)+MAX(G376-G344,0)</f>
        <v>0</v>
      </c>
      <c r="H440" s="34" t="n">
        <f aca="false">H439*(1+Inputs!$B$23)+MAX(H376-H344,0)</f>
        <v>0</v>
      </c>
      <c r="I440" s="34" t="n">
        <f aca="false">I439*(1+Inputs!$B$23)+MAX(I376-I344,0)</f>
        <v>0</v>
      </c>
    </row>
    <row r="441" customFormat="false" ht="15" hidden="true" customHeight="true" outlineLevel="0" collapsed="false">
      <c r="B441" s="34" t="n">
        <f aca="false">B440*(1+Inputs!$B$23)+MAX(B377-B345,0)</f>
        <v>0</v>
      </c>
      <c r="C441" s="34" t="n">
        <f aca="false">C440*(1+Inputs!$B$23)+MAX(C377-C345,0)</f>
        <v>0</v>
      </c>
      <c r="D441" s="34" t="n">
        <f aca="false">D440*(1+Inputs!$B$23)+MAX(D377-D345,0)</f>
        <v>0</v>
      </c>
      <c r="E441" s="34" t="n">
        <f aca="false">E440*(1+Inputs!$B$23)+MAX(E377-E345,0)</f>
        <v>0</v>
      </c>
      <c r="F441" s="34" t="n">
        <f aca="false">F440*(1+Inputs!$B$23)+MAX(F377-F345,0)</f>
        <v>0</v>
      </c>
      <c r="G441" s="34" t="n">
        <f aca="false">G440*(1+Inputs!$B$23)+MAX(G377-G345,0)</f>
        <v>0</v>
      </c>
      <c r="H441" s="34" t="n">
        <f aca="false">H440*(1+Inputs!$B$23)+MAX(H377-H345,0)</f>
        <v>0</v>
      </c>
      <c r="I441" s="34" t="n">
        <f aca="false">I440*(1+Inputs!$B$23)+MAX(I377-I345,0)</f>
        <v>0</v>
      </c>
    </row>
    <row r="442" customFormat="false" ht="15" hidden="true" customHeight="true" outlineLevel="0" collapsed="false">
      <c r="B442" s="34" t="n">
        <f aca="false">B441*(1+Inputs!$B$23)+MAX(B378-B346,0)</f>
        <v>38.2550776138451</v>
      </c>
      <c r="C442" s="34" t="n">
        <f aca="false">C441*(1+Inputs!$B$23)+MAX(C378-C346,0)</f>
        <v>0</v>
      </c>
      <c r="D442" s="34" t="n">
        <f aca="false">D441*(1+Inputs!$B$23)+MAX(D378-D346,0)</f>
        <v>0</v>
      </c>
      <c r="E442" s="34" t="n">
        <f aca="false">E441*(1+Inputs!$B$23)+MAX(E378-E346,0)</f>
        <v>0</v>
      </c>
      <c r="F442" s="34" t="n">
        <f aca="false">F441*(1+Inputs!$B$23)+MAX(F378-F346,0)</f>
        <v>0</v>
      </c>
      <c r="G442" s="34" t="n">
        <f aca="false">G441*(1+Inputs!$B$23)+MAX(G378-G346,0)</f>
        <v>0</v>
      </c>
      <c r="H442" s="34" t="n">
        <f aca="false">H441*(1+Inputs!$B$23)+MAX(H378-H346,0)</f>
        <v>0</v>
      </c>
      <c r="I442" s="34" t="n">
        <f aca="false">I441*(1+Inputs!$B$23)+MAX(I378-I346,0)</f>
        <v>0</v>
      </c>
    </row>
    <row r="443" customFormat="false" ht="15" hidden="true" customHeight="true" outlineLevel="0" collapsed="false">
      <c r="B443" s="34" t="n">
        <f aca="false">B442*(1+Inputs!$B$23)+MAX(B379-B347,0)</f>
        <v>706.118871578235</v>
      </c>
      <c r="C443" s="34" t="n">
        <f aca="false">C442*(1+Inputs!$B$23)+MAX(C379-C347,0)</f>
        <v>0</v>
      </c>
      <c r="D443" s="34" t="n">
        <f aca="false">D442*(1+Inputs!$B$23)+MAX(D379-D347,0)</f>
        <v>0</v>
      </c>
      <c r="E443" s="34" t="n">
        <f aca="false">E442*(1+Inputs!$B$23)+MAX(E379-E347,0)</f>
        <v>0</v>
      </c>
      <c r="F443" s="34" t="n">
        <f aca="false">F442*(1+Inputs!$B$23)+MAX(F379-F347,0)</f>
        <v>0</v>
      </c>
      <c r="G443" s="34" t="n">
        <f aca="false">G442*(1+Inputs!$B$23)+MAX(G379-G347,0)</f>
        <v>0</v>
      </c>
      <c r="H443" s="34" t="n">
        <f aca="false">H442*(1+Inputs!$B$23)+MAX(H379-H347,0)</f>
        <v>0</v>
      </c>
      <c r="I443" s="34" t="n">
        <f aca="false">I442*(1+Inputs!$B$23)+MAX(I379-I347,0)</f>
        <v>0</v>
      </c>
    </row>
    <row r="444" customFormat="false" ht="15" hidden="true" customHeight="true" outlineLevel="0" collapsed="false">
      <c r="B444" s="34" t="n">
        <f aca="false">B443*(1+Inputs!$B$23)+MAX(B380-B348,0)</f>
        <v>2060.18730722503</v>
      </c>
      <c r="C444" s="34" t="n">
        <f aca="false">C443*(1+Inputs!$B$23)+MAX(C380-C348,0)</f>
        <v>70.2780724826444</v>
      </c>
      <c r="D444" s="34" t="n">
        <f aca="false">D443*(1+Inputs!$B$23)+MAX(D380-D348,0)</f>
        <v>0</v>
      </c>
      <c r="E444" s="34" t="n">
        <f aca="false">E443*(1+Inputs!$B$23)+MAX(E380-E348,0)</f>
        <v>0</v>
      </c>
      <c r="F444" s="34" t="n">
        <f aca="false">F443*(1+Inputs!$B$23)+MAX(F380-F348,0)</f>
        <v>0</v>
      </c>
      <c r="G444" s="34" t="n">
        <f aca="false">G443*(1+Inputs!$B$23)+MAX(G380-G348,0)</f>
        <v>0</v>
      </c>
      <c r="H444" s="34" t="n">
        <f aca="false">H443*(1+Inputs!$B$23)+MAX(H380-H348,0)</f>
        <v>0</v>
      </c>
      <c r="I444" s="34" t="n">
        <f aca="false">I443*(1+Inputs!$B$23)+MAX(I380-I348,0)</f>
        <v>0</v>
      </c>
    </row>
    <row r="445" customFormat="false" ht="15" hidden="true" customHeight="true" outlineLevel="0" collapsed="false">
      <c r="B445" s="34" t="n">
        <f aca="false">B444*(1+Inputs!$B$23)+MAX(B381-B349,0)</f>
        <v>4161.01664747649</v>
      </c>
      <c r="C445" s="34" t="n">
        <f aca="false">C444*(1+Inputs!$B$23)+MAX(C381-C349,0)</f>
        <v>810.289627780109</v>
      </c>
      <c r="D445" s="34" t="n">
        <f aca="false">D444*(1+Inputs!$B$23)+MAX(D381-D349,0)</f>
        <v>0</v>
      </c>
      <c r="E445" s="34" t="n">
        <f aca="false">E444*(1+Inputs!$B$23)+MAX(E381-E349,0)</f>
        <v>0</v>
      </c>
      <c r="F445" s="34" t="n">
        <f aca="false">F444*(1+Inputs!$B$23)+MAX(F381-F349,0)</f>
        <v>0</v>
      </c>
      <c r="G445" s="34" t="n">
        <f aca="false">G444*(1+Inputs!$B$23)+MAX(G381-G349,0)</f>
        <v>0</v>
      </c>
      <c r="H445" s="34" t="n">
        <f aca="false">H444*(1+Inputs!$B$23)+MAX(H381-H349,0)</f>
        <v>0</v>
      </c>
      <c r="I445" s="34" t="n">
        <f aca="false">I444*(1+Inputs!$B$23)+MAX(I381-I349,0)</f>
        <v>0</v>
      </c>
    </row>
    <row r="446" customFormat="false" ht="15" hidden="true" customHeight="true" outlineLevel="0" collapsed="false">
      <c r="B446" s="34" t="n">
        <f aca="false">B445*(1+Inputs!$B$23)+MAX(B382-B350,0)</f>
        <v>7073.37805056287</v>
      </c>
      <c r="C446" s="34" t="n">
        <f aca="false">C445*(1+Inputs!$B$23)+MAX(C382-C350,0)</f>
        <v>2280.18417881526</v>
      </c>
      <c r="D446" s="34" t="n">
        <f aca="false">D445*(1+Inputs!$B$23)+MAX(D382-D350,0)</f>
        <v>145.619377193289</v>
      </c>
      <c r="E446" s="34" t="n">
        <f aca="false">E445*(1+Inputs!$B$23)+MAX(E382-E350,0)</f>
        <v>0</v>
      </c>
      <c r="F446" s="34" t="n">
        <f aca="false">F445*(1+Inputs!$B$23)+MAX(F382-F350,0)</f>
        <v>0</v>
      </c>
      <c r="G446" s="34" t="n">
        <f aca="false">G445*(1+Inputs!$B$23)+MAX(G382-G350,0)</f>
        <v>0</v>
      </c>
      <c r="H446" s="34" t="n">
        <f aca="false">H445*(1+Inputs!$B$23)+MAX(H382-H350,0)</f>
        <v>0</v>
      </c>
      <c r="I446" s="34" t="n">
        <f aca="false">I445*(1+Inputs!$B$23)+MAX(I382-I350,0)</f>
        <v>0</v>
      </c>
    </row>
    <row r="447" customFormat="false" ht="15" hidden="true" customHeight="true" outlineLevel="0" collapsed="false">
      <c r="B447" s="34" t="n">
        <f aca="false">B446*(1+Inputs!$B$23)+MAX(B383-B351,0)</f>
        <v>10866.5279093269</v>
      </c>
      <c r="C447" s="34" t="n">
        <f aca="false">C446*(1+Inputs!$B$23)+MAX(C383-C351,0)</f>
        <v>4544.31917440497</v>
      </c>
      <c r="D447" s="34" t="n">
        <f aca="false">D446*(1+Inputs!$B$23)+MAX(D383-D351,0)</f>
        <v>1006.02268851061</v>
      </c>
      <c r="E447" s="34" t="n">
        <f aca="false">E446*(1+Inputs!$B$23)+MAX(E383-E351,0)</f>
        <v>0</v>
      </c>
      <c r="F447" s="34" t="n">
        <f aca="false">F446*(1+Inputs!$B$23)+MAX(F383-F351,0)</f>
        <v>0</v>
      </c>
      <c r="G447" s="34" t="n">
        <f aca="false">G446*(1+Inputs!$B$23)+MAX(G383-G351,0)</f>
        <v>0</v>
      </c>
      <c r="H447" s="34" t="n">
        <f aca="false">H446*(1+Inputs!$B$23)+MAX(H383-H351,0)</f>
        <v>0</v>
      </c>
      <c r="I447" s="34" t="n">
        <f aca="false">I446*(1+Inputs!$B$23)+MAX(I383-I351,0)</f>
        <v>0</v>
      </c>
    </row>
    <row r="448" customFormat="false" ht="15" hidden="true" customHeight="true" outlineLevel="0" collapsed="false">
      <c r="B448" s="34" t="n">
        <f aca="false">B447*(1+Inputs!$B$23)+MAX(B384-B352,0)</f>
        <v>15614.4949342539</v>
      </c>
      <c r="C448" s="34" t="n">
        <f aca="false">C447*(1+Inputs!$B$23)+MAX(C384-C352,0)</f>
        <v>7671.53044436727</v>
      </c>
      <c r="D448" s="34" t="n">
        <f aca="false">D447*(1+Inputs!$B$23)+MAX(D384-D352,0)</f>
        <v>2645.27837314419</v>
      </c>
      <c r="E448" s="34" t="n">
        <f aca="false">E447*(1+Inputs!$B$23)+MAX(E384-E352,0)</f>
        <v>270.522816278433</v>
      </c>
      <c r="F448" s="34" t="n">
        <f aca="false">F447*(1+Inputs!$B$23)+MAX(F384-F352,0)</f>
        <v>0</v>
      </c>
      <c r="G448" s="34" t="n">
        <f aca="false">G447*(1+Inputs!$B$23)+MAX(G384-G352,0)</f>
        <v>0</v>
      </c>
      <c r="H448" s="34" t="n">
        <f aca="false">H447*(1+Inputs!$B$23)+MAX(H384-H352,0)</f>
        <v>0</v>
      </c>
      <c r="I448" s="34" t="n">
        <f aca="false">I447*(1+Inputs!$B$23)+MAX(I384-I352,0)</f>
        <v>0</v>
      </c>
    </row>
    <row r="449" customFormat="false" ht="15" hidden="true" customHeight="true" outlineLevel="0" collapsed="false">
      <c r="B449" s="34" t="n">
        <f aca="false">B448*(1+Inputs!$B$23)+MAX(B385-B353,0)</f>
        <v>21396.385000553</v>
      </c>
      <c r="C449" s="34" t="n">
        <f aca="false">C448*(1+Inputs!$B$23)+MAX(C385-C353,0)</f>
        <v>11735.4194104036</v>
      </c>
      <c r="D449" s="34" t="n">
        <f aca="false">D448*(1+Inputs!$B$23)+MAX(D385-D353,0)</f>
        <v>5131.9344187321</v>
      </c>
      <c r="E449" s="34" t="n">
        <f aca="false">E448*(1+Inputs!$B$23)+MAX(E385-E353,0)</f>
        <v>1306.32202140989</v>
      </c>
      <c r="F449" s="34" t="n">
        <f aca="false">F448*(1+Inputs!$B$23)+MAX(F385-F353,0)</f>
        <v>353.604281602573</v>
      </c>
      <c r="G449" s="34" t="n">
        <f aca="false">G448*(1+Inputs!$B$23)+MAX(G385-G353,0)</f>
        <v>0</v>
      </c>
      <c r="H449" s="34" t="n">
        <f aca="false">H448*(1+Inputs!$B$23)+MAX(H385-H353,0)</f>
        <v>0</v>
      </c>
      <c r="I449" s="34" t="n">
        <f aca="false">I448*(1+Inputs!$B$23)+MAX(I385-I353,0)</f>
        <v>0</v>
      </c>
    </row>
    <row r="450" customFormat="false" ht="15" hidden="true" customHeight="true" outlineLevel="0" collapsed="false">
      <c r="B450" s="34" t="n">
        <f aca="false">B449*(1+Inputs!$B$23)+MAX(B386-B354,0)</f>
        <v>28296.7048413025</v>
      </c>
      <c r="C450" s="34" t="n">
        <f aca="false">C449*(1+Inputs!$B$23)+MAX(C386-C354,0)</f>
        <v>16814.6580848748</v>
      </c>
      <c r="D450" s="34" t="n">
        <f aca="false">D449*(1+Inputs!$B$23)+MAX(D386-D354,0)</f>
        <v>8539.30619752791</v>
      </c>
      <c r="E450" s="34" t="n">
        <f aca="false">E449*(1+Inputs!$B$23)+MAX(E386-E354,0)</f>
        <v>3175.78554932186</v>
      </c>
      <c r="F450" s="34" t="n">
        <f aca="false">F449*(1+Inputs!$B$23)+MAX(F386-F354,0)</f>
        <v>1499.94119057391</v>
      </c>
      <c r="G450" s="34" t="n">
        <f aca="false">G449*(1+Inputs!$B$23)+MAX(G386-G354,0)</f>
        <v>451.571387000033</v>
      </c>
      <c r="H450" s="34" t="n">
        <f aca="false">H449*(1+Inputs!$B$23)+MAX(H386-H354,0)</f>
        <v>0</v>
      </c>
      <c r="I450" s="34" t="n">
        <f aca="false">I449*(1+Inputs!$B$23)+MAX(I386-I354,0)</f>
        <v>0</v>
      </c>
    </row>
    <row r="451" customFormat="false" ht="15" hidden="true" customHeight="true" outlineLevel="0" collapsed="false">
      <c r="B451" s="34" t="n">
        <f aca="false">B450*(1+Inputs!$B$23)+MAX(B387-B355,0)</f>
        <v>36405.7057340839</v>
      </c>
      <c r="C451" s="34" t="n">
        <f aca="false">C450*(1+Inputs!$B$23)+MAX(C387-C355,0)</f>
        <v>22993.312941401</v>
      </c>
      <c r="D451" s="34" t="n">
        <f aca="false">D450*(1+Inputs!$B$23)+MAX(D387-D355,0)</f>
        <v>12945.7821446383</v>
      </c>
      <c r="E451" s="34" t="n">
        <f aca="false">E450*(1+Inputs!$B$23)+MAX(E387-E355,0)</f>
        <v>5952.07875049534</v>
      </c>
      <c r="F451" s="34" t="n">
        <f aca="false">F450*(1+Inputs!$B$23)+MAX(F387-F355,0)</f>
        <v>3509.72017567033</v>
      </c>
      <c r="G451" s="34" t="n">
        <f aca="false">G450*(1+Inputs!$B$23)+MAX(G387-G355,0)</f>
        <v>1724.89891880687</v>
      </c>
      <c r="H451" s="34" t="n">
        <f aca="false">H450*(1+Inputs!$B$23)+MAX(H387-H355,0)</f>
        <v>0</v>
      </c>
      <c r="I451" s="34" t="n">
        <f aca="false">I450*(1+Inputs!$B$23)+MAX(I387-I355,0)</f>
        <v>0</v>
      </c>
    </row>
    <row r="452" customFormat="false" ht="15" hidden="true" customHeight="true" outlineLevel="0" collapsed="false">
      <c r="B452" s="34" t="n">
        <f aca="false">B451*(1+Inputs!$B$23)+MAX(B388-B356,0)</f>
        <v>45819.7483978665</v>
      </c>
      <c r="C452" s="34" t="n">
        <f aca="false">C451*(1+Inputs!$B$23)+MAX(C388-C356,0)</f>
        <v>30361.1888067532</v>
      </c>
      <c r="D452" s="34" t="n">
        <f aca="false">D451*(1+Inputs!$B$23)+MAX(D388-D356,0)</f>
        <v>18435.1483660096</v>
      </c>
      <c r="E452" s="34" t="n">
        <f aca="false">E451*(1+Inputs!$B$23)+MAX(E388-E356,0)</f>
        <v>9713.45126117363</v>
      </c>
      <c r="F452" s="34" t="n">
        <f aca="false">F451*(1+Inputs!$B$23)+MAX(F388-F356,0)</f>
        <v>6458.58761730693</v>
      </c>
      <c r="G452" s="34" t="n">
        <f aca="false">G451*(1+Inputs!$B$23)+MAX(G388-G356,0)</f>
        <v>3893.12781995651</v>
      </c>
      <c r="H452" s="34" t="n">
        <f aca="false">H451*(1+Inputs!$B$23)+MAX(H388-H356,0)</f>
        <v>695.687433167776</v>
      </c>
      <c r="I452" s="34" t="n">
        <f aca="false">I451*(1+Inputs!$B$23)+MAX(I388-I356,0)</f>
        <v>0</v>
      </c>
    </row>
    <row r="453" customFormat="false" ht="15" hidden="true" customHeight="true" outlineLevel="0" collapsed="false">
      <c r="B453" s="34" t="n">
        <f aca="false">B452*(1+Inputs!$B$23)+MAX(B389-B357,0)</f>
        <v>56641.6903904335</v>
      </c>
      <c r="C453" s="34" t="n">
        <f aca="false">C452*(1+Inputs!$B$23)+MAX(C389-C357,0)</f>
        <v>39014.193992984</v>
      </c>
      <c r="D453" s="34" t="n">
        <f aca="false">D452*(1+Inputs!$B$23)+MAX(D389-D357,0)</f>
        <v>25096.9333296207</v>
      </c>
      <c r="E453" s="34" t="n">
        <f aca="false">E452*(1+Inputs!$B$23)+MAX(E389-E357,0)</f>
        <v>14543.56289145</v>
      </c>
      <c r="F453" s="34" t="n">
        <f aca="false">F452*(1+Inputs!$B$23)+MAX(F389-F357,0)</f>
        <v>10427.4438743992</v>
      </c>
      <c r="G453" s="34" t="n">
        <f aca="false">G452*(1+Inputs!$B$23)+MAX(G389-G357,0)</f>
        <v>7034.50722413257</v>
      </c>
      <c r="H453" s="34" t="n">
        <f aca="false">H452*(1+Inputs!$B$23)+MAX(H389-H357,0)</f>
        <v>2276.17288128306</v>
      </c>
      <c r="I453" s="34" t="n">
        <f aca="false">I452*(1+Inputs!$B$23)+MAX(I389-I357,0)</f>
        <v>141.786288018651</v>
      </c>
    </row>
    <row r="454" customFormat="false" ht="15" hidden="true" customHeight="true" outlineLevel="0" collapsed="false">
      <c r="B454" s="34" t="n">
        <f aca="false">B453*(1+Inputs!$B$23)+MAX(B390-B358,0)</f>
        <v>68981.2973745807</v>
      </c>
      <c r="C454" s="34" t="n">
        <f aca="false">C453*(1+Inputs!$B$23)+MAX(C390-C358,0)</f>
        <v>49054.7279624147</v>
      </c>
      <c r="D454" s="34" t="n">
        <f aca="false">D453*(1+Inputs!$B$23)+MAX(D390-D358,0)</f>
        <v>33026.7738630746</v>
      </c>
      <c r="E454" s="34" t="n">
        <f aca="false">E453*(1+Inputs!$B$23)+MAX(E390-E358,0)</f>
        <v>20531.8296915692</v>
      </c>
      <c r="F454" s="34" t="n">
        <f aca="false">F453*(1+Inputs!$B$23)+MAX(F390-F358,0)</f>
        <v>15502.7799789431</v>
      </c>
      <c r="G454" s="34" t="n">
        <f aca="false">G453*(1+Inputs!$B$23)+MAX(G390-G358,0)</f>
        <v>11232.7178645853</v>
      </c>
      <c r="H454" s="34" t="n">
        <f aca="false">H453*(1+Inputs!$B$23)+MAX(H390-H358,0)</f>
        <v>4819.83592831141</v>
      </c>
      <c r="I454" s="34" t="n">
        <f aca="false">I453*(1+Inputs!$B$23)+MAX(I390-I358,0)</f>
        <v>1160.42822534458</v>
      </c>
    </row>
    <row r="455" customFormat="false" ht="15" hidden="true" customHeight="true" outlineLevel="0" collapsed="false">
      <c r="B455" s="34" t="n">
        <f aca="false">B454*(1+Inputs!$B$23)+MAX(B391-B359,0)</f>
        <v>82955.6797039636</v>
      </c>
      <c r="C455" s="34" t="n">
        <f aca="false">C454*(1+Inputs!$B$23)+MAX(C391-C359,0)</f>
        <v>60592.0928961983</v>
      </c>
      <c r="D455" s="34" t="n">
        <f aca="false">D454*(1+Inputs!$B$23)+MAX(D391-D359,0)</f>
        <v>42326.8037547227</v>
      </c>
      <c r="E455" s="34" t="n">
        <f aca="false">E454*(1+Inputs!$B$23)+MAX(E391-E359,0)</f>
        <v>27773.7914258825</v>
      </c>
      <c r="F455" s="34" t="n">
        <f aca="false">F454*(1+Inputs!$B$23)+MAX(F391-F359,0)</f>
        <v>21777.0351759466</v>
      </c>
      <c r="G455" s="34" t="n">
        <f aca="false">G454*(1+Inputs!$B$23)+MAX(G391-G359,0)</f>
        <v>16577.2200696522</v>
      </c>
      <c r="H455" s="34" t="n">
        <f aca="false">H454*(1+Inputs!$B$23)+MAX(H391-H359,0)</f>
        <v>8410.5176843484</v>
      </c>
      <c r="I455" s="34" t="n">
        <f aca="false">I454*(1+Inputs!$B$23)+MAX(I391-I359,0)</f>
        <v>3134.58760509699</v>
      </c>
    </row>
    <row r="456" customFormat="false" ht="15" hidden="true" customHeight="true" outlineLevel="0" collapsed="false">
      <c r="B456" s="34" t="n">
        <f aca="false">B455*(1+Inputs!$B$23)+MAX(B392-B360,0)</f>
        <v>98689.7558670821</v>
      </c>
      <c r="C456" s="34" t="n">
        <f aca="false">C455*(1+Inputs!$B$23)+MAX(C392-C360,0)</f>
        <v>73742.9306199813</v>
      </c>
      <c r="D456" s="34" t="n">
        <f aca="false">D455*(1+Inputs!$B$23)+MAX(D392-D360,0)</f>
        <v>53106.0663338422</v>
      </c>
      <c r="E456" s="34" t="n">
        <f aca="false">E455*(1+Inputs!$B$23)+MAX(E392-E360,0)</f>
        <v>36371.501758227</v>
      </c>
      <c r="F456" s="34" t="n">
        <f aca="false">F455*(1+Inputs!$B$23)+MAX(F392-F360,0)</f>
        <v>29348.9765787428</v>
      </c>
      <c r="G456" s="34" t="n">
        <f aca="false">G455*(1+Inputs!$B$23)+MAX(G392-G360,0)</f>
        <v>23163.6233009957</v>
      </c>
      <c r="H456" s="34" t="n">
        <f aca="false">H455*(1+Inputs!$B$23)+MAX(H392-H360,0)</f>
        <v>13137.8712397201</v>
      </c>
      <c r="I456" s="34" t="n">
        <f aca="false">I455*(1+Inputs!$B$23)+MAX(I392-I360,0)</f>
        <v>6148.42744160708</v>
      </c>
    </row>
    <row r="457" customFormat="false" ht="15" hidden="true" customHeight="true" outlineLevel="0" collapsed="false">
      <c r="B457" s="34" t="n">
        <f aca="false">B456*(1+Inputs!$B$23)+MAX(B393-B361,0)</f>
        <v>116316.744420779</v>
      </c>
      <c r="C457" s="34" t="n">
        <f aca="false">C456*(1+Inputs!$B$23)+MAX(C393-C361,0)</f>
        <v>88631.6864279831</v>
      </c>
      <c r="D457" s="34" t="n">
        <f aca="false">D456*(1+Inputs!$B$23)+MAX(D393-D361,0)</f>
        <v>65480.9524885006</v>
      </c>
      <c r="E457" s="34" t="n">
        <f aca="false">E456*(1+Inputs!$B$23)+MAX(E393-E361,0)</f>
        <v>46433.942531304</v>
      </c>
      <c r="F457" s="34" t="n">
        <f aca="false">F456*(1+Inputs!$B$23)+MAX(F393-F361,0)</f>
        <v>38324.1022864985</v>
      </c>
      <c r="G457" s="34" t="n">
        <f aca="false">G456*(1+Inputs!$B$23)+MAX(G393-G361,0)</f>
        <v>31094.0785470114</v>
      </c>
      <c r="H457" s="34" t="n">
        <f aca="false">H456*(1+Inputs!$B$23)+MAX(H393-H361,0)</f>
        <v>19097.7338292059</v>
      </c>
      <c r="I457" s="34" t="n">
        <f aca="false">I456*(1+Inputs!$B$23)+MAX(I393-I361,0)</f>
        <v>10291.9654890995</v>
      </c>
    </row>
    <row r="458" customFormat="false" ht="15" hidden="true" customHeight="true" outlineLevel="0" collapsed="false">
      <c r="B458" s="34" t="n">
        <f aca="false">B457*(1+Inputs!$B$23)+MAX(B394-B362,0)</f>
        <v>135978.686143114</v>
      </c>
      <c r="C458" s="34" t="n">
        <f aca="false">C457*(1+Inputs!$B$23)+MAX(C394-C362,0)</f>
        <v>105391.101439881</v>
      </c>
      <c r="D458" s="34" t="n">
        <f aca="false">D457*(1+Inputs!$B$23)+MAX(D394-D362,0)</f>
        <v>79575.665667854</v>
      </c>
      <c r="E458" s="34" t="n">
        <f aca="false">E457*(1+Inputs!$B$23)+MAX(E394-E362,0)</f>
        <v>58077.4636061811</v>
      </c>
      <c r="F458" s="34" t="n">
        <f aca="false">F457*(1+Inputs!$B$23)+MAX(F394-F362,0)</f>
        <v>48815.0693921351</v>
      </c>
      <c r="G458" s="34" t="n">
        <f aca="false">G457*(1+Inputs!$B$23)+MAX(G394-G362,0)</f>
        <v>40477.6949632036</v>
      </c>
      <c r="H458" s="34" t="n">
        <f aca="false">H457*(1+Inputs!$B$23)+MAX(H394-H362,0)</f>
        <v>26392.5220294763</v>
      </c>
      <c r="I458" s="34" t="n">
        <f aca="false">I457*(1+Inputs!$B$23)+MAX(I394-I362,0)</f>
        <v>15661.449674857</v>
      </c>
    </row>
    <row r="459" customFormat="false" ht="15" hidden="true" customHeight="true" outlineLevel="0" collapsed="false">
      <c r="B459" s="34" t="n">
        <f aca="false">B458*(1+Inputs!$B$23)+MAX(B395-B363,0)</f>
        <v>157826.998239867</v>
      </c>
      <c r="C459" s="34" t="n">
        <f aca="false">C458*(1+Inputs!$B$23)+MAX(C395-C363,0)</f>
        <v>124162.73522357</v>
      </c>
      <c r="D459" s="34" t="n">
        <f aca="false">D458*(1+Inputs!$B$23)+MAX(D395-D363,0)</f>
        <v>95522.7155090465</v>
      </c>
      <c r="E459" s="34" t="n">
        <f aca="false">E458*(1+Inputs!$B$23)+MAX(E395-E363,0)</f>
        <v>71426.2498166287</v>
      </c>
      <c r="F459" s="34" t="n">
        <f aca="false">F458*(1+Inputs!$B$23)+MAX(F395-F363,0)</f>
        <v>60942.1483951878</v>
      </c>
      <c r="G459" s="34" t="n">
        <f aca="false">G458*(1+Inputs!$B$23)+MAX(G395-G363,0)</f>
        <v>51430.9822354453</v>
      </c>
      <c r="H459" s="34" t="n">
        <f aca="false">H458*(1+Inputs!$B$23)+MAX(H395-H363,0)</f>
        <v>35131.6513928409</v>
      </c>
      <c r="I459" s="34" t="n">
        <f aca="false">I458*(1+Inputs!$B$23)+MAX(I395-I363,0)</f>
        <v>22359.7567828378</v>
      </c>
    </row>
    <row r="460" customFormat="false" ht="15" hidden="true" customHeight="true" outlineLevel="0" collapsed="false">
      <c r="B460" s="34" t="n">
        <f aca="false">B459*(1+Inputs!$B$23)+MAX(B396-B364,0)</f>
        <v>182023.062549635</v>
      </c>
      <c r="C460" s="34" t="n">
        <f aca="false">C459*(1+Inputs!$B$23)+MAX(C396-C364,0)</f>
        <v>145097.520521491</v>
      </c>
      <c r="D460" s="34" t="n">
        <f aca="false">D459*(1+Inputs!$B$23)+MAX(D396-D364,0)</f>
        <v>113463.441827921</v>
      </c>
      <c r="E460" s="34" t="n">
        <f aca="false">E459*(1+Inputs!$B$23)+MAX(E396-E364,0)</f>
        <v>86612.8166869135</v>
      </c>
      <c r="F460" s="34" t="n">
        <f aca="false">F459*(1+Inputs!$B$23)+MAX(F396-F364,0)</f>
        <v>74833.7056256339</v>
      </c>
      <c r="G460" s="34" t="n">
        <f aca="false">G459*(1+Inputs!$B$23)+MAX(G396-G364,0)</f>
        <v>64078.3202312317</v>
      </c>
      <c r="H460" s="34" t="n">
        <f aca="false">H459*(1+Inputs!$B$23)+MAX(H396-H364,0)</f>
        <v>45431.9820052176</v>
      </c>
      <c r="I460" s="34" t="n">
        <f aca="false">I459*(1+Inputs!$B$23)+MAX(I396-I364,0)</f>
        <v>30496.8158045078</v>
      </c>
    </row>
    <row r="461" customFormat="false" ht="15" hidden="true" customHeight="true" outlineLevel="0" collapsed="false">
      <c r="B461" s="34" t="n">
        <f aca="false">B460*(1+Inputs!$B$23)+MAX(B397-B365,0)</f>
        <v>208738.849809815</v>
      </c>
      <c r="C461" s="34" t="n">
        <f aca="false">C460*(1+Inputs!$B$23)+MAX(C397-C365,0)</f>
        <v>168356.352029113</v>
      </c>
      <c r="D461" s="34" t="n">
        <f aca="false">D460*(1+Inputs!$B$23)+MAX(D397-D365,0)</f>
        <v>133548.570817754</v>
      </c>
      <c r="E461" s="34" t="n">
        <f aca="false">E460*(1+Inputs!$B$23)+MAX(E397-E365,0)</f>
        <v>103778.536661242</v>
      </c>
      <c r="F461" s="34" t="n">
        <f aca="false">F460*(1+Inputs!$B$23)+MAX(F397-F365,0)</f>
        <v>90626.7153817334</v>
      </c>
      <c r="G461" s="34" t="n">
        <f aca="false">G460*(1+Inputs!$B$23)+MAX(G397-G365,0)</f>
        <v>78552.4575985919</v>
      </c>
      <c r="H461" s="34" t="n">
        <f aca="false">H460*(1+Inputs!$B$23)+MAX(H397-H365,0)</f>
        <v>57418.2915461635</v>
      </c>
      <c r="I461" s="34" t="n">
        <f aca="false">I460*(1+Inputs!$B$23)+MAX(I397-I365,0)</f>
        <v>40190.0574593045</v>
      </c>
    </row>
    <row r="462" customFormat="false" ht="15" hidden="true" customHeight="true" outlineLevel="0" collapsed="false">
      <c r="B462" s="34" t="n">
        <f aca="false">B461*(1+Inputs!$B$23)+MAX(B398-B366,0)</f>
        <v>238157.582170188</v>
      </c>
      <c r="C462" s="34" t="n">
        <f aca="false">C461*(1+Inputs!$B$23)+MAX(C398-C366,0)</f>
        <v>194110.711291775</v>
      </c>
      <c r="D462" s="34" t="n">
        <f aca="false">D461*(1+Inputs!$B$23)+MAX(D398-D366,0)</f>
        <v>155938.805411559</v>
      </c>
      <c r="E462" s="34" t="n">
        <f aca="false">E461*(1+Inputs!$B$23)+MAX(E398-E366,0)</f>
        <v>123074.197698612</v>
      </c>
      <c r="F462" s="34" t="n">
        <f aca="false">F461*(1+Inputs!$B$23)+MAX(F398-F366,0)</f>
        <v>108467.30358778</v>
      </c>
      <c r="G462" s="34" t="n">
        <f aca="false">G461*(1+Inputs!$B$23)+MAX(G398-G366,0)</f>
        <v>94995.0410725751</v>
      </c>
      <c r="H462" s="34" t="n">
        <f aca="false">H461*(1+Inputs!$B$23)+MAX(H398-H366,0)</f>
        <v>71223.7775241476</v>
      </c>
      <c r="I462" s="34" t="n">
        <f aca="false">I461*(1+Inputs!$B$23)+MAX(I398-I366,0)</f>
        <v>51564.8914779705</v>
      </c>
    </row>
    <row r="463" customFormat="false" ht="15" hidden="true" customHeight="true" outlineLevel="0" collapsed="false">
      <c r="B463" s="34" t="n">
        <f aca="false">B462*(1+Inputs!$B$23)+MAX(B399-B367,0)</f>
        <v>270474.436272703</v>
      </c>
      <c r="C463" s="34" t="n">
        <f aca="false">C462*(1+Inputs!$B$23)+MAX(C399-C367,0)</f>
        <v>222543.329910714</v>
      </c>
      <c r="D463" s="34" t="n">
        <f aca="false">D462*(1+Inputs!$B$23)+MAX(D399-D367,0)</f>
        <v>180805.451881511</v>
      </c>
      <c r="E463" s="34" t="n">
        <f aca="false">E462*(1+Inputs!$B$23)+MAX(E399-E367,0)</f>
        <v>144660.596198742</v>
      </c>
      <c r="F463" s="34" t="n">
        <f aca="false">F462*(1+Inputs!$B$23)+MAX(F399-F367,0)</f>
        <v>128511.324886709</v>
      </c>
      <c r="G463" s="34" t="n">
        <f aca="false">G462*(1+Inputs!$B$23)+MAX(G399-G367,0)</f>
        <v>113557.177355516</v>
      </c>
      <c r="H463" s="34" t="n">
        <f aca="false">H462*(1+Inputs!$B$23)+MAX(H399-H367,0)</f>
        <v>86990.5904613295</v>
      </c>
      <c r="I463" s="34" t="n">
        <f aca="false">I462*(1+Inputs!$B$23)+MAX(I399-I367,0)</f>
        <v>64755.2133382752</v>
      </c>
    </row>
    <row r="464" customFormat="false" ht="15" hidden="true" customHeight="true" outlineLevel="0" collapsed="false"/>
    <row r="465" customFormat="false" ht="15" hidden="true" customHeight="true" outlineLevel="0" collapsed="false">
      <c r="A465" s="33" t="s">
        <v>97</v>
      </c>
      <c r="B465" s="34" t="n">
        <f aca="false">B273*(1-Inputs!$B$14)-B305+B433-B401</f>
        <v>-38619</v>
      </c>
      <c r="C465" s="34" t="n">
        <f aca="false">C273*(1-Inputs!$B$14)-C305+C433-C401</f>
        <v>-38619</v>
      </c>
      <c r="D465" s="34" t="n">
        <f aca="false">D273*(1-Inputs!$B$14)-D305+D433-D401</f>
        <v>-38619</v>
      </c>
      <c r="E465" s="34" t="n">
        <f aca="false">E273*(1-Inputs!$B$14)-E305+E433-E401</f>
        <v>-38619</v>
      </c>
      <c r="F465" s="34" t="n">
        <f aca="false">F273*(1-Inputs!$B$14)-F305+F433-F401</f>
        <v>-38619</v>
      </c>
      <c r="G465" s="34" t="n">
        <f aca="false">G273*(1-Inputs!$B$14)-G305+G433-G401</f>
        <v>-38619</v>
      </c>
      <c r="H465" s="34" t="n">
        <f aca="false">H273*(1-Inputs!$B$14)-H305+H433-H401</f>
        <v>-38619</v>
      </c>
      <c r="I465" s="34" t="n">
        <f aca="false">I273*(1-Inputs!$B$14)-I305+I433-I401</f>
        <v>-38619</v>
      </c>
    </row>
    <row r="466" customFormat="false" ht="15" hidden="true" customHeight="true" outlineLevel="0" collapsed="false">
      <c r="B466" s="34" t="n">
        <f aca="false">B274*(1-Inputs!$B$14)-B306+B434-B402</f>
        <v>-31267.3719788434</v>
      </c>
      <c r="C466" s="34" t="n">
        <f aca="false">C274*(1-Inputs!$B$14)-C306+C434-C402</f>
        <v>-32982.0452097128</v>
      </c>
      <c r="D466" s="34" t="n">
        <f aca="false">D274*(1-Inputs!$B$14)-D306+D434-D402</f>
        <v>-34698.0430058879</v>
      </c>
      <c r="E466" s="34" t="n">
        <f aca="false">E274*(1-Inputs!$B$14)-E306+E434-E402</f>
        <v>-36415.1845129324</v>
      </c>
      <c r="F466" s="34" t="n">
        <f aca="false">F274*(1-Inputs!$B$14)-F306+F434-F402</f>
        <v>-37274.1280674846</v>
      </c>
      <c r="G466" s="34" t="n">
        <f aca="false">G274*(1-Inputs!$B$14)-G306+G434-G402</f>
        <v>-38133.2873325598</v>
      </c>
      <c r="H466" s="34" t="n">
        <f aca="false">H274*(1-Inputs!$B$14)-H306+H434-H402</f>
        <v>-39852.1948654132</v>
      </c>
      <c r="I466" s="34" t="n">
        <f aca="false">I274*(1-Inputs!$B$14)-I306+I434-I402</f>
        <v>-41571.7527795198</v>
      </c>
    </row>
    <row r="467" customFormat="false" ht="15" hidden="true" customHeight="true" outlineLevel="0" collapsed="false">
      <c r="B467" s="34" t="n">
        <f aca="false">B275*(1-Inputs!$B$14)-B307+B435-B403</f>
        <v>-23420.3106764174</v>
      </c>
      <c r="C467" s="34" t="n">
        <f aca="false">C275*(1-Inputs!$B$14)-C307+C435-C403</f>
        <v>-26919.4425320085</v>
      </c>
      <c r="D467" s="34" t="n">
        <f aca="false">D275*(1-Inputs!$B$14)-D307+D435-D403</f>
        <v>-30426.2575921291</v>
      </c>
      <c r="E467" s="34" t="n">
        <f aca="false">E275*(1-Inputs!$B$14)-E307+E435-E403</f>
        <v>-33939.8828966408</v>
      </c>
      <c r="F467" s="34" t="n">
        <f aca="false">F275*(1-Inputs!$B$14)-F307+F435-F403</f>
        <v>-35698.9878190183</v>
      </c>
      <c r="G467" s="34" t="n">
        <f aca="false">G275*(1-Inputs!$B$14)-G307+G435-G403</f>
        <v>-37459.4993050731</v>
      </c>
      <c r="H467" s="34" t="n">
        <f aca="false">H275*(1-Inputs!$B$14)-H307+H435-H403</f>
        <v>-40984.3372227512</v>
      </c>
      <c r="I467" s="34" t="n">
        <f aca="false">I275*(1-Inputs!$B$14)-I307+I435-I403</f>
        <v>-44513.6805258108</v>
      </c>
    </row>
    <row r="468" customFormat="false" ht="15" hidden="true" customHeight="true" outlineLevel="0" collapsed="false">
      <c r="B468" s="34" t="n">
        <f aca="false">B276*(1-Inputs!$B$14)-B308+B436-B404</f>
        <v>-15047.7196438459</v>
      </c>
      <c r="C468" s="34" t="n">
        <f aca="false">C276*(1-Inputs!$B$14)-C308+C436-C404</f>
        <v>-20403.9746416418</v>
      </c>
      <c r="D468" s="34" t="n">
        <f aca="false">D276*(1-Inputs!$B$14)-D308+D436-D404</f>
        <v>-25779.5488015448</v>
      </c>
      <c r="E468" s="34" t="n">
        <f aca="false">E276*(1-Inputs!$B$14)-E308+E436-E404</f>
        <v>-31172.4003313717</v>
      </c>
      <c r="F468" s="34" t="n">
        <f aca="false">F276*(1-Inputs!$B$14)-F308+F436-F404</f>
        <v>-33874.691903644</v>
      </c>
      <c r="G468" s="34" t="n">
        <f aca="false">G276*(1-Inputs!$B$14)-G308+G436-G404</f>
        <v>-36580.5833439372</v>
      </c>
      <c r="H468" s="34" t="n">
        <f aca="false">H276*(1-Inputs!$B$14)-H308+H436-H404</f>
        <v>-42002.2930695295</v>
      </c>
      <c r="I468" s="34" t="n">
        <f aca="false">I276*(1-Inputs!$B$14)-I308+I436-I404</f>
        <v>-47435.8382848792</v>
      </c>
    </row>
    <row r="469" customFormat="false" ht="15" hidden="true" customHeight="true" outlineLevel="0" collapsed="false">
      <c r="B469" s="34" t="n">
        <f aca="false">B277*(1-Inputs!$B$14)-B309+B437-B405</f>
        <v>-6117.71787576005</v>
      </c>
      <c r="C469" s="34" t="n">
        <f aca="false">C277*(1-Inputs!$B$14)-C309+C437-C405</f>
        <v>-13406.8078042932</v>
      </c>
      <c r="D469" s="34" t="n">
        <f aca="false">D277*(1-Inputs!$B$14)-D309+D437-D405</f>
        <v>-20732.3408099654</v>
      </c>
      <c r="E469" s="34" t="n">
        <f aca="false">E277*(1-Inputs!$B$14)-E309+E437-E405</f>
        <v>-28090.6537386265</v>
      </c>
      <c r="F469" s="34" t="n">
        <f aca="false">F277*(1-Inputs!$B$14)-F309+F437-F405</f>
        <v>-31780.9985597873</v>
      </c>
      <c r="G469" s="34" t="n">
        <f aca="false">G277*(1-Inputs!$B$14)-G309+G437-G405</f>
        <v>-35478.2379515733</v>
      </c>
      <c r="H469" s="34" t="n">
        <f aca="false">H277*(1-Inputs!$B$14)-H309+H437-H405</f>
        <v>-42891.8151935545</v>
      </c>
      <c r="I469" s="34" t="n">
        <f aca="false">I277*(1-Inputs!$B$14)-I309+I437-I405</f>
        <v>-50328.2896359318</v>
      </c>
    </row>
    <row r="470" customFormat="false" ht="15" hidden="true" customHeight="true" outlineLevel="0" collapsed="false">
      <c r="B470" s="34" t="n">
        <f aca="false">B278*(1-Inputs!$B$14)-B310+B438-B406</f>
        <v>3403.43723217768</v>
      </c>
      <c r="C470" s="34" t="n">
        <f aca="false">C278*(1-Inputs!$B$14)-C310+C438-C406</f>
        <v>-5897.35092293689</v>
      </c>
      <c r="D470" s="34" t="n">
        <f aca="false">D278*(1-Inputs!$B$14)-D310+D438-D406</f>
        <v>-15257.4425051245</v>
      </c>
      <c r="E470" s="34" t="n">
        <f aca="false">E278*(1-Inputs!$B$14)-E310+E438-E406</f>
        <v>-24671.0943165497</v>
      </c>
      <c r="F470" s="34" t="n">
        <f aca="false">F278*(1-Inputs!$B$14)-F310+F438-F406</f>
        <v>-29396.2727815324</v>
      </c>
      <c r="G470" s="34" t="n">
        <f aca="false">G278*(1-Inputs!$B$14)-G310+G438-G406</f>
        <v>-34132.8126019007</v>
      </c>
      <c r="H470" s="34" t="n">
        <f aca="false">H278*(1-Inputs!$B$14)-H310+H438-H406</f>
        <v>-43637.4208112542</v>
      </c>
      <c r="I470" s="34" t="n">
        <f aca="false">I278*(1-Inputs!$B$14)-I310+I438-I406</f>
        <v>-53180.0224342806</v>
      </c>
    </row>
    <row r="471" customFormat="false" ht="15" hidden="true" customHeight="true" outlineLevel="0" collapsed="false">
      <c r="B471" s="34" t="n">
        <f aca="false">B279*(1-Inputs!$B$14)-B311+B439-B407</f>
        <v>13551.4516553716</v>
      </c>
      <c r="C471" s="34" t="n">
        <f aca="false">C279*(1-Inputs!$B$14)-C311+C439-C407</f>
        <v>2156.79918008062</v>
      </c>
      <c r="D471" s="34" t="n">
        <f aca="false">D279*(1-Inputs!$B$14)-D311+D439-D407</f>
        <v>-9325.96029321323</v>
      </c>
      <c r="E471" s="34" t="n">
        <f aca="false">E279*(1-Inputs!$B$14)-E311+E439-E407</f>
        <v>-20888.5883203685</v>
      </c>
      <c r="F471" s="34" t="n">
        <f aca="false">F279*(1-Inputs!$B$14)-F311+F439-F407</f>
        <v>-26697.3862478023</v>
      </c>
      <c r="G471" s="34" t="n">
        <f aca="false">G279*(1-Inputs!$B$14)-G311+G439-G407</f>
        <v>-32523.2169224678</v>
      </c>
      <c r="H471" s="34" t="n">
        <f aca="false">H279*(1-Inputs!$B$14)-H311+H439-H407</f>
        <v>-44222.3295572361</v>
      </c>
      <c r="I471" s="34" t="n">
        <f aca="false">I279*(1-Inputs!$B$14)-I311+I439-I407</f>
        <v>-55978.8159917506</v>
      </c>
    </row>
    <row r="472" customFormat="false" ht="15" hidden="true" customHeight="true" outlineLevel="0" collapsed="false">
      <c r="B472" s="34" t="n">
        <f aca="false">B280*(1-Inputs!$B$14)-B312+B440-B408</f>
        <v>24364.1215290003</v>
      </c>
      <c r="C472" s="34" t="n">
        <f aca="false">C280*(1-Inputs!$B$14)-C312+C440-C408</f>
        <v>10789.9964743224</v>
      </c>
      <c r="D472" s="34" t="n">
        <f aca="false">D280*(1-Inputs!$B$14)-D312+D440-D408</f>
        <v>-2907.19796354408</v>
      </c>
      <c r="E472" s="34" t="n">
        <f aca="false">E280*(1-Inputs!$B$14)-E312+E440-E408</f>
        <v>-16716.3559793732</v>
      </c>
      <c r="F472" s="34" t="n">
        <f aca="false">F280*(1-Inputs!$B$14)-F312+F440-F408</f>
        <v>-23659.5759370052</v>
      </c>
      <c r="G472" s="34" t="n">
        <f aca="false">G280*(1-Inputs!$B$14)-G312+G440-G408</f>
        <v>-30626.8191172258</v>
      </c>
      <c r="H472" s="34" t="n">
        <f aca="false">H280*(1-Inputs!$B$14)-H312+H440-H408</f>
        <v>-44628.3318429336</v>
      </c>
      <c r="I472" s="34" t="n">
        <f aca="false">I280*(1-Inputs!$B$14)-I312+I440-I408</f>
        <v>-58711.2197776256</v>
      </c>
    </row>
    <row r="473" customFormat="false" ht="15" hidden="true" customHeight="true" outlineLevel="0" collapsed="false">
      <c r="B473" s="34" t="n">
        <f aca="false">B281*(1-Inputs!$B$14)-B313+B441-B409</f>
        <v>35881.4452576412</v>
      </c>
      <c r="C473" s="34" t="n">
        <f aca="false">C281*(1-Inputs!$B$14)-C313+C441-C409</f>
        <v>20038.6486688132</v>
      </c>
      <c r="D473" s="34" t="n">
        <f aca="false">D281*(1-Inputs!$B$14)-D313+D441-D409</f>
        <v>4031.44656849967</v>
      </c>
      <c r="E473" s="34" t="n">
        <f aca="false">E281*(1-Inputs!$B$14)-E313+E441-E409</f>
        <v>-12125.8284353237</v>
      </c>
      <c r="F473" s="34" t="n">
        <f aca="false">F281*(1-Inputs!$B$14)-F313+F441-F409</f>
        <v>-20256.3913449658</v>
      </c>
      <c r="G473" s="34" t="n">
        <f aca="false">G281*(1-Inputs!$B$14)-G313+G441-G409</f>
        <v>-28419.3135810748</v>
      </c>
      <c r="H473" s="34" t="n">
        <f aca="false">H281*(1-Inputs!$B$14)-H313+H441-H409</f>
        <v>-44835.7176031785</v>
      </c>
      <c r="I473" s="34" t="n">
        <f aca="false">I281*(1-Inputs!$B$14)-I313+I441-I409</f>
        <v>-61362.3337280586</v>
      </c>
    </row>
    <row r="474" customFormat="false" ht="15" hidden="true" customHeight="true" outlineLevel="0" collapsed="false">
      <c r="B474" s="34" t="n">
        <f aca="false">B282*(1-Inputs!$B$14)-B314+B442-B410</f>
        <v>48145.751268473</v>
      </c>
      <c r="C474" s="34" t="n">
        <f aca="false">C282*(1-Inputs!$B$14)-C314+C442-C410</f>
        <v>29941.3146534459</v>
      </c>
      <c r="D474" s="34" t="n">
        <f aca="false">D282*(1-Inputs!$B$14)-D314+D442-D410</f>
        <v>11524.5878309384</v>
      </c>
      <c r="E474" s="34" t="n">
        <f aca="false">E282*(1-Inputs!$B$14)-E314+E442-E410</f>
        <v>-7086.53258015882</v>
      </c>
      <c r="F474" s="34" t="n">
        <f aca="false">F282*(1-Inputs!$B$14)-F314+F442-F410</f>
        <v>-16459.5402189317</v>
      </c>
      <c r="G474" s="34" t="n">
        <f aca="false">G282*(1-Inputs!$B$14)-G314+G442-G410</f>
        <v>-25874.6776542824</v>
      </c>
      <c r="H474" s="34" t="n">
        <f aca="false">H282*(1-Inputs!$B$14)-H314+H442-H410</f>
        <v>-44823.1054505658</v>
      </c>
      <c r="I474" s="34" t="n">
        <f aca="false">I282*(1-Inputs!$B$14)-I314+I442-I410</f>
        <v>-63915.7702570452</v>
      </c>
    </row>
    <row r="475" customFormat="false" ht="15" hidden="true" customHeight="true" outlineLevel="0" collapsed="false">
      <c r="B475" s="34" t="n">
        <f aca="false">B283*(1-Inputs!$B$14)-B315+B443-B411</f>
        <v>61201.8417501811</v>
      </c>
      <c r="C475" s="34" t="n">
        <f aca="false">C283*(1-Inputs!$B$14)-C315+C443-C411</f>
        <v>40538.8667073829</v>
      </c>
      <c r="D475" s="34" t="n">
        <f aca="false">D283*(1-Inputs!$B$14)-D315+D443-D411</f>
        <v>19609.0128793499</v>
      </c>
      <c r="E475" s="34" t="n">
        <f aca="false">E283*(1-Inputs!$B$14)-E315+E443-E411</f>
        <v>-1566.01366345759</v>
      </c>
      <c r="F475" s="34" t="n">
        <f aca="false">F283*(1-Inputs!$B$14)-F315+F443-F411</f>
        <v>-12238.802715109</v>
      </c>
      <c r="G475" s="34" t="n">
        <f aca="false">G283*(1-Inputs!$B$14)-G315+G443-G411</f>
        <v>-22964.9874616559</v>
      </c>
      <c r="H475" s="34" t="n">
        <f aca="false">H283*(1-Inputs!$B$14)-H315+H443-H411</f>
        <v>-44567.3822585698</v>
      </c>
      <c r="I475" s="34" t="n">
        <f aca="false">I283*(1-Inputs!$B$14)-I315+I443-I411</f>
        <v>-66353.4780675445</v>
      </c>
    </row>
    <row r="476" customFormat="false" ht="15" hidden="true" customHeight="true" outlineLevel="0" collapsed="false">
      <c r="B476" s="34" t="n">
        <f aca="false">B284*(1-Inputs!$B$14)-B316+B444-B412</f>
        <v>75097.112740325</v>
      </c>
      <c r="C476" s="34" t="n">
        <f aca="false">C284*(1-Inputs!$B$14)-C316+C444-C412</f>
        <v>51874.6177640894</v>
      </c>
      <c r="D476" s="34" t="n">
        <f aca="false">D284*(1-Inputs!$B$14)-D316+D444-D412</f>
        <v>28323.7451101994</v>
      </c>
      <c r="E476" s="34" t="n">
        <f aca="false">E284*(1-Inputs!$B$14)-E316+E444-E412</f>
        <v>4470.33446777891</v>
      </c>
      <c r="F476" s="34" t="n">
        <f aca="false">F284*(1-Inputs!$B$14)-F316+F444-F412</f>
        <v>-7561.8838815238</v>
      </c>
      <c r="G476" s="34" t="n">
        <f aca="false">G284*(1-Inputs!$B$14)-G316+G444-G412</f>
        <v>-19660.2927779387</v>
      </c>
      <c r="H476" s="34" t="n">
        <f aca="false">H284*(1-Inputs!$B$14)-H316+H444-H412</f>
        <v>-44043.5231955207</v>
      </c>
      <c r="I476" s="34" t="n">
        <f aca="false">I284*(1-Inputs!$B$14)-I316+I444-I412</f>
        <v>-68655.6178671406</v>
      </c>
    </row>
    <row r="477" customFormat="false" ht="15" hidden="true" customHeight="true" outlineLevel="0" collapsed="false">
      <c r="B477" s="34" t="n">
        <f aca="false">B285*(1-Inputs!$B$14)-B317+B445-B413</f>
        <v>89881.7509457968</v>
      </c>
      <c r="C477" s="34" t="n">
        <f aca="false">C285*(1-Inputs!$B$14)-C317+C445-C413</f>
        <v>63994.4440401176</v>
      </c>
      <c r="D477" s="34" t="n">
        <f aca="false">D285*(1-Inputs!$B$14)-D317+D445-D413</f>
        <v>37710.2620308191</v>
      </c>
      <c r="E477" s="34" t="n">
        <f aca="false">E285*(1-Inputs!$B$14)-E317+E445-E413</f>
        <v>11059.3916428089</v>
      </c>
      <c r="F477" s="34" t="n">
        <f aca="false">F285*(1-Inputs!$B$14)-F317+F445-F413</f>
        <v>-2394.26436200406</v>
      </c>
      <c r="G477" s="34" t="n">
        <f aca="false">G285*(1-Inputs!$B$14)-G317+G445-G413</f>
        <v>-15928.5108572791</v>
      </c>
      <c r="H477" s="34" t="n">
        <f aca="false">H285*(1-Inputs!$B$14)-H317+H445-H413</f>
        <v>-43224.4522327695</v>
      </c>
      <c r="I477" s="34" t="n">
        <f aca="false">I285*(1-Inputs!$B$14)-I317+I445-I413</f>
        <v>-70800.380098793</v>
      </c>
    </row>
    <row r="478" customFormat="false" ht="15" hidden="true" customHeight="true" outlineLevel="0" collapsed="false">
      <c r="B478" s="34" t="n">
        <f aca="false">B286*(1-Inputs!$B$14)-B318+B446-B414</f>
        <v>105608.817704194</v>
      </c>
      <c r="C478" s="34" t="n">
        <f aca="false">C286*(1-Inputs!$B$14)-C318+C446-C414</f>
        <v>76946.9433533043</v>
      </c>
      <c r="D478" s="34" t="n">
        <f aca="false">D286*(1-Inputs!$B$14)-D318+D446-D414</f>
        <v>47812.5772272729</v>
      </c>
      <c r="E478" s="34" t="n">
        <f aca="false">E286*(1-Inputs!$B$14)-E318+E446-E414</f>
        <v>18240.4163089376</v>
      </c>
      <c r="F478" s="34" t="n">
        <f aca="false">F286*(1-Inputs!$B$14)-F318+F446-F414</f>
        <v>3300.90078928357</v>
      </c>
      <c r="G478" s="34" t="n">
        <f aca="false">G286*(1-Inputs!$B$14)-G318+G446-G414</f>
        <v>-11735.2691607831</v>
      </c>
      <c r="H478" s="34" t="n">
        <f aca="false">H286*(1-Inputs!$B$14)-H318+H446-H414</f>
        <v>-42080.9031516564</v>
      </c>
      <c r="I478" s="34" t="n">
        <f aca="false">I286*(1-Inputs!$B$14)-I318+I446-I414</f>
        <v>-72763.8648037479</v>
      </c>
    </row>
    <row r="479" customFormat="false" ht="15" hidden="true" customHeight="true" outlineLevel="0" collapsed="false">
      <c r="B479" s="34" t="n">
        <f aca="false">B287*(1-Inputs!$B$14)-B319+B447-B415</f>
        <v>122334.500518509</v>
      </c>
      <c r="C479" s="34" t="n">
        <f aca="false">C287*(1-Inputs!$B$14)-C319+C447-C415</f>
        <v>90783.5994756971</v>
      </c>
      <c r="D479" s="34" t="n">
        <f aca="false">D287*(1-Inputs!$B$14)-D319+D447-D415</f>
        <v>58677.4067859286</v>
      </c>
      <c r="E479" s="34" t="n">
        <f aca="false">E287*(1-Inputs!$B$14)-E319+E447-E415</f>
        <v>26055.2933054488</v>
      </c>
      <c r="F479" s="34" t="n">
        <f aca="false">F287*(1-Inputs!$B$14)-F319+F447-F415</f>
        <v>9562.97530006326</v>
      </c>
      <c r="G479" s="34" t="n">
        <f aca="false">G287*(1-Inputs!$B$14)-G319+G447-G415</f>
        <v>-7043.72691208246</v>
      </c>
      <c r="H479" s="34" t="n">
        <f aca="false">H287*(1-Inputs!$B$14)-H319+H447-H415</f>
        <v>-40581.2410752616</v>
      </c>
      <c r="I479" s="34" t="n">
        <f aca="false">I287*(1-Inputs!$B$14)-I319+I447-I415</f>
        <v>-74519.8237405851</v>
      </c>
    </row>
    <row r="480" customFormat="false" ht="15" hidden="true" customHeight="true" outlineLevel="0" collapsed="false">
      <c r="B480" s="34" t="n">
        <f aca="false">B288*(1-Inputs!$B$14)-B320+B448-B416</f>
        <v>140118.242623611</v>
      </c>
      <c r="C480" s="34" t="n">
        <f aca="false">C288*(1-Inputs!$B$14)-C320+C448-C416</f>
        <v>105558.952887361</v>
      </c>
      <c r="D480" s="34" t="n">
        <f aca="false">D288*(1-Inputs!$B$14)-D320+D448-D416</f>
        <v>70354.3504400311</v>
      </c>
      <c r="E480" s="34" t="n">
        <f aca="false">E288*(1-Inputs!$B$14)-E320+E448-E416</f>
        <v>34548.574643678</v>
      </c>
      <c r="F480" s="34" t="n">
        <f aca="false">F288*(1-Inputs!$B$14)-F320+F448-F416</f>
        <v>16433.9970034172</v>
      </c>
      <c r="G480" s="34" t="n">
        <f aca="false">G288*(1-Inputs!$B$14)-G320+G448-G416</f>
        <v>-1814.43540653255</v>
      </c>
      <c r="H480" s="34" t="n">
        <f aca="false">H288*(1-Inputs!$B$14)-H320+H448-H416</f>
        <v>-38691.2845523558</v>
      </c>
      <c r="I480" s="34" t="n">
        <f aca="false">I288*(1-Inputs!$B$14)-I320+I448-I416</f>
        <v>-76039.5348917054</v>
      </c>
    </row>
    <row r="481" customFormat="false" ht="15" hidden="true" customHeight="true" outlineLevel="0" collapsed="false">
      <c r="B481" s="34" t="n">
        <f aca="false">B289*(1-Inputs!$B$14)-B321+B449-B417</f>
        <v>159022.921070604</v>
      </c>
      <c r="C481" s="34" t="n">
        <f aca="false">C289*(1-Inputs!$B$14)-C321+C449-C417</f>
        <v>121330.768319309</v>
      </c>
      <c r="D481" s="34" t="n">
        <f aca="false">D289*(1-Inputs!$B$14)-D321+D449-D417</f>
        <v>82896.0477289647</v>
      </c>
      <c r="E481" s="34" t="n">
        <f aca="false">E289*(1-Inputs!$B$14)-E321+E449-E417</f>
        <v>43767.7434777857</v>
      </c>
      <c r="F481" s="34" t="n">
        <f aca="false">F289*(1-Inputs!$B$14)-F321+F449-F417</f>
        <v>23958.8254245571</v>
      </c>
      <c r="G481" s="34" t="n">
        <f aca="false">G289*(1-Inputs!$B$14)-G321+G449-G417</f>
        <v>3994.85300493531</v>
      </c>
      <c r="H481" s="34" t="n">
        <f aca="false">H289*(1-Inputs!$B$14)-H321+H449-H417</f>
        <v>-36374.1282224908</v>
      </c>
      <c r="I481" s="34" t="n">
        <f aca="false">I289*(1-Inputs!$B$14)-I321+I449-I417</f>
        <v>-77291.5494963079</v>
      </c>
    </row>
    <row r="482" customFormat="false" ht="15" hidden="true" customHeight="true" outlineLevel="0" collapsed="false">
      <c r="B482" s="34" t="n">
        <f aca="false">B290*(1-Inputs!$B$14)-B322+B450-B418</f>
        <v>179115.103844469</v>
      </c>
      <c r="C482" s="34" t="n">
        <f aca="false">C290*(1-Inputs!$B$14)-C322+C450-C418</f>
        <v>138160.219497227</v>
      </c>
      <c r="D482" s="34" t="n">
        <f aca="false">D290*(1-Inputs!$B$14)-D322+D450-D418</f>
        <v>96358.3494752869</v>
      </c>
      <c r="E482" s="34" t="n">
        <f aca="false">E290*(1-Inputs!$B$14)-E322+E450-E418</f>
        <v>53763.3714619927</v>
      </c>
      <c r="F482" s="34" t="n">
        <f aca="false">F290*(1-Inputs!$B$14)-F322+F450-F418</f>
        <v>32185.3817710183</v>
      </c>
      <c r="G482" s="34" t="n">
        <f aca="false">G290*(1-Inputs!$B$14)-G322+G450-G418</f>
        <v>10429.377341144</v>
      </c>
      <c r="H482" s="34" t="n">
        <f aca="false">H290*(1-Inputs!$B$14)-H322+H450-H418</f>
        <v>-33589.8960927812</v>
      </c>
      <c r="I482" s="34" t="n">
        <f aca="false">I290*(1-Inputs!$B$14)-I322+I450-I418</f>
        <v>-78241.4717571339</v>
      </c>
    </row>
    <row r="483" customFormat="false" ht="15" hidden="true" customHeight="true" outlineLevel="0" collapsed="false">
      <c r="B483" s="34" t="n">
        <f aca="false">B291*(1-Inputs!$B$14)-B323+B451-B419</f>
        <v>200465.18656142</v>
      </c>
      <c r="C483" s="34" t="n">
        <f aca="false">C291*(1-Inputs!$B$14)-C323+C451-C419</f>
        <v>156112.111522474</v>
      </c>
      <c r="D483" s="34" t="n">
        <f aca="false">D291*(1-Inputs!$B$14)-D323+D451-D419</f>
        <v>110800.544903042</v>
      </c>
      <c r="E483" s="34" t="n">
        <f aca="false">E291*(1-Inputs!$B$14)-E323+E451-E419</f>
        <v>64589.2997019062</v>
      </c>
      <c r="F483" s="34" t="n">
        <f aca="false">F291*(1-Inputs!$B$14)-F323+F451-F419</f>
        <v>41164.781474921</v>
      </c>
      <c r="G483" s="34" t="n">
        <f aca="false">G291*(1-Inputs!$B$14)-G323+G451-G419</f>
        <v>17537.5619141791</v>
      </c>
      <c r="H483" s="34" t="n">
        <f aca="false">H291*(1-Inputs!$B$14)-H323+H451-H419</f>
        <v>-30295.575458635</v>
      </c>
      <c r="I483" s="34" t="n">
        <f aca="false">I291*(1-Inputs!$B$14)-I323+I451-I419</f>
        <v>-78851.7013769554</v>
      </c>
    </row>
    <row r="484" customFormat="false" ht="15" hidden="true" customHeight="true" outlineLevel="0" collapsed="false">
      <c r="B484" s="34" t="n">
        <f aca="false">B292*(1-Inputs!$B$14)-B324+B452-B420</f>
        <v>223147.669325342</v>
      </c>
      <c r="C484" s="34" t="n">
        <f aca="false">C292*(1-Inputs!$B$14)-C324+C452-C420</f>
        <v>175255.06135319</v>
      </c>
      <c r="D484" s="34" t="n">
        <f aca="false">D292*(1-Inputs!$B$14)-D324+D452-D420</f>
        <v>126285.544740417</v>
      </c>
      <c r="E484" s="34" t="n">
        <f aca="false">E292*(1-Inputs!$B$14)-E324+E452-E420</f>
        <v>76302.8235201683</v>
      </c>
      <c r="F484" s="34" t="n">
        <f aca="false">F292*(1-Inputs!$B$14)-F324+F452-F420</f>
        <v>50951.6094450118</v>
      </c>
      <c r="G484" s="34" t="n">
        <f aca="false">G292*(1-Inputs!$B$14)-G324+G452-G420</f>
        <v>25371.2518455503</v>
      </c>
      <c r="H484" s="34" t="n">
        <f aca="false">H292*(1-Inputs!$B$14)-H324+H452-H420</f>
        <v>-26444.7115024862</v>
      </c>
      <c r="I484" s="34" t="n">
        <f aca="false">I292*(1-Inputs!$B$14)-I324+I452-I420</f>
        <v>-79081.1690900124</v>
      </c>
    </row>
    <row r="485" customFormat="false" ht="15" hidden="true" customHeight="true" outlineLevel="0" collapsed="false">
      <c r="B485" s="34" t="n">
        <f aca="false">B293*(1-Inputs!$B$14)-B325+B453-B421</f>
        <v>247241.374357572</v>
      </c>
      <c r="C485" s="34" t="n">
        <f aca="false">C293*(1-Inputs!$B$14)-C325+C453-C421</f>
        <v>195661.736876221</v>
      </c>
      <c r="D485" s="34" t="n">
        <f aca="false">D293*(1-Inputs!$B$14)-D325+D453-D421</f>
        <v>142880.080670507</v>
      </c>
      <c r="E485" s="34" t="n">
        <f aca="false">E293*(1-Inputs!$B$14)-E325+E453-E421</f>
        <v>88964.9712699986</v>
      </c>
      <c r="F485" s="34" t="n">
        <f aca="false">F293*(1-Inputs!$B$14)-F325+F453-F421</f>
        <v>61604.0781957806</v>
      </c>
      <c r="G485" s="34" t="n">
        <f aca="false">G293*(1-Inputs!$B$14)-G325+G453-G421</f>
        <v>33985.9302752762</v>
      </c>
      <c r="H485" s="34" t="n">
        <f aca="false">H293*(1-Inputs!$B$14)-H325+H453-H421</f>
        <v>-21987.2226064958</v>
      </c>
      <c r="I485" s="34" t="n">
        <f aca="false">I293*(1-Inputs!$B$14)-I325+I453-I421</f>
        <v>-78885.0253633802</v>
      </c>
    </row>
    <row r="486" customFormat="false" ht="15" hidden="true" customHeight="true" outlineLevel="0" collapsed="false">
      <c r="B486" s="34" t="n">
        <f aca="false">B294*(1-Inputs!$B$14)-B326+B454-B422</f>
        <v>272829.705051282</v>
      </c>
      <c r="C486" s="34" t="n">
        <f aca="false">C294*(1-Inputs!$B$14)-C326+C454-C422</f>
        <v>217409.095090181</v>
      </c>
      <c r="D486" s="34" t="n">
        <f aca="false">D294*(1-Inputs!$B$14)-D326+D454-D422</f>
        <v>160654.971515949</v>
      </c>
      <c r="E486" s="34" t="n">
        <f aca="false">E294*(1-Inputs!$B$14)-E326+E454-E422</f>
        <v>102640.697444365</v>
      </c>
      <c r="F486" s="34" t="n">
        <f aca="false">F294*(1-Inputs!$B$14)-F326+F454-F422</f>
        <v>73184.3090311419</v>
      </c>
      <c r="G486" s="34" t="n">
        <f aca="false">G294*(1-Inputs!$B$14)-G326+G454-G422</f>
        <v>43440.9473703322</v>
      </c>
      <c r="H486" s="34" t="n">
        <f aca="false">H294*(1-Inputs!$B$14)-H326+H454-H422</f>
        <v>-16869.0764171997</v>
      </c>
      <c r="I486" s="34" t="n">
        <f aca="false">I294*(1-Inputs!$B$14)-I326+I454-I422</f>
        <v>-78214.3424536039</v>
      </c>
    </row>
    <row r="487" customFormat="false" ht="15" hidden="true" customHeight="true" outlineLevel="0" collapsed="false">
      <c r="B487" s="34" t="n">
        <f aca="false">B295*(1-Inputs!$B$14)-B327+B455-B423</f>
        <v>300000.887140948</v>
      </c>
      <c r="C487" s="34" t="n">
        <f aca="false">C295*(1-Inputs!$B$14)-C327+C455-C423</f>
        <v>240578.619951311</v>
      </c>
      <c r="D487" s="34" t="n">
        <f aca="false">D295*(1-Inputs!$B$14)-D327+D455-D423</f>
        <v>179685.31656645</v>
      </c>
      <c r="E487" s="34" t="n">
        <f aca="false">E295*(1-Inputs!$B$14)-E327+E455-E423</f>
        <v>117399.120343527</v>
      </c>
      <c r="F487" s="34" t="n">
        <f aca="false">F295*(1-Inputs!$B$14)-F327+F455-F423</f>
        <v>85758.5864709581</v>
      </c>
      <c r="G487" s="34" t="n">
        <f aca="false">G295*(1-Inputs!$B$14)-G327+G455-G423</f>
        <v>53799.8312454246</v>
      </c>
      <c r="H487" s="34" t="n">
        <f aca="false">H295*(1-Inputs!$B$14)-H327+H455-H423</f>
        <v>-11031.9967022127</v>
      </c>
      <c r="I487" s="34" t="n">
        <f aca="false">I295*(1-Inputs!$B$14)-I327+I455-I423</f>
        <v>-77015.7700149076</v>
      </c>
    </row>
    <row r="488" customFormat="false" ht="15" hidden="true" customHeight="true" outlineLevel="0" collapsed="false">
      <c r="B488" s="34" t="n">
        <f aca="false">B296*(1-Inputs!$B$14)-B328+B456-B424</f>
        <v>328848.282718956</v>
      </c>
      <c r="C488" s="34" t="n">
        <f aca="false">C296*(1-Inputs!$B$14)-C328+C456-C424</f>
        <v>265256.590467072</v>
      </c>
      <c r="D488" s="34" t="n">
        <f aca="false">D296*(1-Inputs!$B$14)-D328+D456-D424</f>
        <v>200050.806482944</v>
      </c>
      <c r="E488" s="34" t="n">
        <f aca="false">E296*(1-Inputs!$B$14)-E328+E456-E424</f>
        <v>133313.824579601</v>
      </c>
      <c r="F488" s="34" t="n">
        <f aca="false">F296*(1-Inputs!$B$14)-F328+F456-F424</f>
        <v>99397.6061201262</v>
      </c>
      <c r="G488" s="34" t="n">
        <f aca="false">G296*(1-Inputs!$B$14)-G328+G456-G424</f>
        <v>65130.5109159855</v>
      </c>
      <c r="H488" s="34" t="n">
        <f aca="false">H296*(1-Inputs!$B$14)-H328+H456-H424</f>
        <v>-4413.20104136353</v>
      </c>
      <c r="I488" s="34" t="n">
        <f aca="false">I296*(1-Inputs!$B$14)-I328+I456-I424</f>
        <v>-75231.1544669267</v>
      </c>
    </row>
    <row r="489" customFormat="false" ht="15" hidden="true" customHeight="true" outlineLevel="0" collapsed="false">
      <c r="B489" s="34" t="n">
        <f aca="false">B297*(1-Inputs!$B$14)-B329+B457-B425</f>
        <v>359470.637875497</v>
      </c>
      <c r="C489" s="34" t="n">
        <f aca="false">C297*(1-Inputs!$B$14)-C329+C457-C425</f>
        <v>291534.35965763</v>
      </c>
      <c r="D489" s="34" t="n">
        <f aca="false">D297*(1-Inputs!$B$14)-D329+D457-D425</f>
        <v>221835.96223828</v>
      </c>
      <c r="E489" s="34" t="n">
        <f aca="false">E297*(1-Inputs!$B$14)-E329+E457-E425</f>
        <v>150463.078713692</v>
      </c>
      <c r="F489" s="34" t="n">
        <f aca="false">F297*(1-Inputs!$B$14)-F329+F457-F425</f>
        <v>114176.756192096</v>
      </c>
      <c r="G489" s="34" t="n">
        <f aca="false">G297*(1-Inputs!$B$14)-G329+G457-G425</f>
        <v>77505.6714106317</v>
      </c>
      <c r="H489" s="34" t="n">
        <f aca="false">H297*(1-Inputs!$B$14)-H329+H457-H425</f>
        <v>3055.03060298832</v>
      </c>
      <c r="I489" s="34" t="n">
        <f aca="false">I297*(1-Inputs!$B$14)-I329+I457-I425</f>
        <v>-72797.1123422153</v>
      </c>
    </row>
    <row r="490" customFormat="false" ht="15" hidden="true" customHeight="true" outlineLevel="0" collapsed="false">
      <c r="B490" s="34" t="n">
        <f aca="false">B298*(1-Inputs!$B$14)-B330+B458-B426</f>
        <v>391972.454784598</v>
      </c>
      <c r="C490" s="34" t="n">
        <f aca="false">C298*(1-Inputs!$B$14)-C330+C458-C426</f>
        <v>319508.655042789</v>
      </c>
      <c r="D490" s="34" t="n">
        <f aca="false">D298*(1-Inputs!$B$14)-D330+D458-D426</f>
        <v>245130.422582103</v>
      </c>
      <c r="E490" s="34" t="n">
        <f aca="false">E298*(1-Inputs!$B$14)-E330+E458-E426</f>
        <v>168930.198338995</v>
      </c>
      <c r="F490" s="34" t="n">
        <f aca="false">F298*(1-Inputs!$B$14)-F330+F458-F426</f>
        <v>130176.472911551</v>
      </c>
      <c r="G490" s="34" t="n">
        <f aca="false">G298*(1-Inputs!$B$14)-G330+G458-G426</f>
        <v>91003.0411781243</v>
      </c>
      <c r="H490" s="34" t="n">
        <f aca="false">H298*(1-Inputs!$B$14)-H330+H458-H426</f>
        <v>11445.6463891688</v>
      </c>
      <c r="I490" s="34" t="n">
        <f aca="false">I298*(1-Inputs!$B$14)-I330+I458-I426</f>
        <v>-69644.6578468535</v>
      </c>
    </row>
    <row r="491" customFormat="false" ht="15" hidden="true" customHeight="true" outlineLevel="0" collapsed="false">
      <c r="B491" s="34" t="n">
        <f aca="false">B299*(1-Inputs!$B$14)-B331+B459-B427</f>
        <v>426464.269108707</v>
      </c>
      <c r="C491" s="34" t="n">
        <f aca="false">C299*(1-Inputs!$B$14)-C331+C459-C427</f>
        <v>349281.871351521</v>
      </c>
      <c r="D491" s="34" t="n">
        <f aca="false">D299*(1-Inputs!$B$14)-D331+D459-D427</f>
        <v>270029.270547018</v>
      </c>
      <c r="E491" s="34" t="n">
        <f aca="false">E299*(1-Inputs!$B$14)-E331+E459-E427</f>
        <v>188803.794942279</v>
      </c>
      <c r="F491" s="34" t="n">
        <f aca="false">F299*(1-Inputs!$B$14)-F331+F459-F427</f>
        <v>147482.480034637</v>
      </c>
      <c r="G491" s="34" t="n">
        <f aca="false">G299*(1-Inputs!$B$14)-G331+G459-G427</f>
        <v>105705.731932129</v>
      </c>
      <c r="H491" s="34" t="n">
        <f aca="false">H299*(1-Inputs!$B$14)-H331+H459-H427</f>
        <v>20837.2421229824</v>
      </c>
      <c r="I491" s="34" t="n">
        <f aca="false">I299*(1-Inputs!$B$14)-I331+I459-I427</f>
        <v>-65698.6748813076</v>
      </c>
    </row>
    <row r="492" customFormat="false" ht="15" hidden="true" customHeight="true" outlineLevel="0" collapsed="false">
      <c r="B492" s="34" t="n">
        <f aca="false">B300*(1-Inputs!$B$14)-B332+B460-B428</f>
        <v>463063.033646739</v>
      </c>
      <c r="C492" s="34" t="n">
        <f aca="false">C300*(1-Inputs!$B$14)-C332+C460-C428</f>
        <v>380962.426193252</v>
      </c>
      <c r="D492" s="34" t="n">
        <f aca="false">D300*(1-Inputs!$B$14)-D332+D460-D428</f>
        <v>296633.329544304</v>
      </c>
      <c r="E492" s="34" t="n">
        <f aca="false">E300*(1-Inputs!$B$14)-E332+E460-E428</f>
        <v>210178.160896237</v>
      </c>
      <c r="F492" s="34" t="n">
        <f aca="false">F300*(1-Inputs!$B$14)-F332+F460-F428</f>
        <v>166186.232739583</v>
      </c>
      <c r="G492" s="34" t="n">
        <f aca="false">G300*(1-Inputs!$B$14)-G332+G460-G428</f>
        <v>121702.61108585</v>
      </c>
      <c r="H492" s="34" t="n">
        <f aca="false">H300*(1-Inputs!$B$14)-H332+H460-H428</f>
        <v>31314.4697553013</v>
      </c>
      <c r="I492" s="34" t="n">
        <f aca="false">I300*(1-Inputs!$B$14)-I332+I460-I428</f>
        <v>-60877.4237833527</v>
      </c>
    </row>
    <row r="493" customFormat="false" ht="15" hidden="true" customHeight="true" outlineLevel="0" collapsed="false">
      <c r="B493" s="34" t="n">
        <f aca="false">B301*(1-Inputs!$B$14)-B333+B461-B429</f>
        <v>501892.479206163</v>
      </c>
      <c r="C493" s="34" t="n">
        <f aca="false">C301*(1-Inputs!$B$14)-C333+C461-C429</f>
        <v>414665.099474598</v>
      </c>
      <c r="D493" s="34" t="n">
        <f aca="false">D301*(1-Inputs!$B$14)-D333+D461-D429</f>
        <v>325049.529630538</v>
      </c>
      <c r="E493" s="34" t="n">
        <f aca="false">E301*(1-Inputs!$B$14)-E333+E461-E429</f>
        <v>233153.600956542</v>
      </c>
      <c r="F493" s="34" t="n">
        <f aca="false">F301*(1-Inputs!$B$14)-F333+F461-F429</f>
        <v>186385.206155937</v>
      </c>
      <c r="G493" s="34" t="n">
        <f aca="false">G301*(1-Inputs!$B$14)-G333+G461-G429</f>
        <v>139088.686937905</v>
      </c>
      <c r="H493" s="34" t="n">
        <f aca="false">H301*(1-Inputs!$B$14)-H333+H461-H429</f>
        <v>42968.5147946697</v>
      </c>
      <c r="I493" s="34" t="n">
        <f aca="false">I301*(1-Inputs!$B$14)-I333+I461-I429</f>
        <v>-55092.0130704101</v>
      </c>
    </row>
    <row r="494" customFormat="false" ht="15" hidden="true" customHeight="true" outlineLevel="0" collapsed="false">
      <c r="B494" s="34" t="n">
        <f aca="false">B302*(1-Inputs!$B$14)-B334+B462-B430</f>
        <v>543083.483738738</v>
      </c>
      <c r="C494" s="34" t="n">
        <f aca="false">C302*(1-Inputs!$B$14)-C334+C462-C430</f>
        <v>450511.367392409</v>
      </c>
      <c r="D494" s="34" t="n">
        <f aca="false">D302*(1-Inputs!$B$14)-D334+D462-D430</f>
        <v>355391.23456153</v>
      </c>
      <c r="E494" s="34" t="n">
        <f aca="false">E302*(1-Inputs!$B$14)-E334+E462-E430</f>
        <v>257836.79066005</v>
      </c>
      <c r="F494" s="34" t="n">
        <f aca="false">F302*(1-Inputs!$B$14)-F334+F462-F430</f>
        <v>208183.308816857</v>
      </c>
      <c r="G494" s="34" t="n">
        <f aca="false">G302*(1-Inputs!$B$14)-G334+G462-G430</f>
        <v>157965.546780667</v>
      </c>
      <c r="H494" s="34" t="n">
        <f aca="false">H302*(1-Inputs!$B$14)-H334+H462-H430</f>
        <v>55897.5725759844</v>
      </c>
      <c r="I494" s="34" t="n">
        <f aca="false">I302*(1-Inputs!$B$14)-I334+I462-I430</f>
        <v>-48245.776475107</v>
      </c>
    </row>
    <row r="495" customFormat="false" ht="15" hidden="true" customHeight="true" outlineLevel="0" collapsed="false">
      <c r="B495" s="34" t="n">
        <f aca="false">B303*(1-Inputs!$B$14)-B335+B463-B431</f>
        <v>586774.530842038</v>
      </c>
      <c r="C495" s="34" t="n">
        <f aca="false">C303*(1-Inputs!$B$14)-C335+C463-C431</f>
        <v>488629.861884059</v>
      </c>
      <c r="D495" s="34" t="n">
        <f aca="false">D303*(1-Inputs!$B$14)-D335+D463-D431</f>
        <v>387778.670287153</v>
      </c>
      <c r="E495" s="34" t="n">
        <f aca="false">E303*(1-Inputs!$B$14)-E335+E463-E431</f>
        <v>284341.192044539</v>
      </c>
      <c r="F495" s="34" t="n">
        <f aca="false">F303*(1-Inputs!$B$14)-F335+F463-F431</f>
        <v>231691.321336203</v>
      </c>
      <c r="G495" s="34" t="n">
        <f aca="false">G303*(1-Inputs!$B$14)-G335+G463-G431</f>
        <v>178441.738112766</v>
      </c>
      <c r="H495" s="34" t="n">
        <f aca="false">H303*(1-Inputs!$B$14)-H335+H463-H431</f>
        <v>70207.3233229494</v>
      </c>
      <c r="I495" s="34" t="n">
        <f aca="false">I303*(1-Inputs!$B$14)-I335+I463-I431</f>
        <v>-40233.6355853141</v>
      </c>
    </row>
    <row r="496" customFormat="false" ht="15" hidden="true" customHeight="true" outlineLevel="0" collapsed="false"/>
    <row r="497" customFormat="false" ht="15" hidden="true" customHeight="true" outlineLevel="0" collapsed="false">
      <c r="A497" s="33" t="s">
        <v>98</v>
      </c>
      <c r="B497" s="33" t="str">
        <f aca="false">IF(B465&gt;=0,0,"")</f>
        <v/>
      </c>
      <c r="C497" s="33" t="str">
        <f aca="false">IF(C465&gt;=0,0,"")</f>
        <v/>
      </c>
      <c r="D497" s="33" t="str">
        <f aca="false">IF(D465&gt;=0,0,"")</f>
        <v/>
      </c>
      <c r="E497" s="33" t="str">
        <f aca="false">IF(E465&gt;=0,0,"")</f>
        <v/>
      </c>
      <c r="F497" s="33" t="str">
        <f aca="false">IF(F465&gt;=0,0,"")</f>
        <v/>
      </c>
      <c r="G497" s="33" t="str">
        <f aca="false">IF(G465&gt;=0,0,"")</f>
        <v/>
      </c>
      <c r="H497" s="33" t="str">
        <f aca="false">IF(H465&gt;=0,0,"")</f>
        <v/>
      </c>
      <c r="I497" s="33" t="str">
        <f aca="false">IF(I465&gt;=0,0,"")</f>
        <v/>
      </c>
    </row>
    <row r="498" customFormat="false" ht="15" hidden="true" customHeight="true" outlineLevel="0" collapsed="false">
      <c r="B498" s="33" t="str">
        <f aca="false">IF(B497&lt;&gt;"",B497,IF(B466&gt;=0,1,""))</f>
        <v/>
      </c>
      <c r="C498" s="33" t="str">
        <f aca="false">IF(C497&lt;&gt;"",C497,IF(C466&gt;=0,1,""))</f>
        <v/>
      </c>
      <c r="D498" s="33" t="str">
        <f aca="false">IF(D497&lt;&gt;"",D497,IF(D466&gt;=0,1,""))</f>
        <v/>
      </c>
      <c r="E498" s="33" t="str">
        <f aca="false">IF(E497&lt;&gt;"",E497,IF(E466&gt;=0,1,""))</f>
        <v/>
      </c>
      <c r="F498" s="33" t="str">
        <f aca="false">IF(F497&lt;&gt;"",F497,IF(F466&gt;=0,1,""))</f>
        <v/>
      </c>
      <c r="G498" s="33" t="str">
        <f aca="false">IF(G497&lt;&gt;"",G497,IF(G466&gt;=0,1,""))</f>
        <v/>
      </c>
      <c r="H498" s="33" t="str">
        <f aca="false">IF(H497&lt;&gt;"",H497,IF(H466&gt;=0,1,""))</f>
        <v/>
      </c>
      <c r="I498" s="33" t="str">
        <f aca="false">IF(I497&lt;&gt;"",I497,IF(I466&gt;=0,1,""))</f>
        <v/>
      </c>
    </row>
    <row r="499" customFormat="false" ht="15" hidden="true" customHeight="true" outlineLevel="0" collapsed="false">
      <c r="B499" s="33" t="str">
        <f aca="false">IF(B498&lt;&gt;"",B498,IF(B467&gt;=0,2,""))</f>
        <v/>
      </c>
      <c r="C499" s="33" t="str">
        <f aca="false">IF(C498&lt;&gt;"",C498,IF(C467&gt;=0,2,""))</f>
        <v/>
      </c>
      <c r="D499" s="33" t="str">
        <f aca="false">IF(D498&lt;&gt;"",D498,IF(D467&gt;=0,2,""))</f>
        <v/>
      </c>
      <c r="E499" s="33" t="str">
        <f aca="false">IF(E498&lt;&gt;"",E498,IF(E467&gt;=0,2,""))</f>
        <v/>
      </c>
      <c r="F499" s="33" t="str">
        <f aca="false">IF(F498&lt;&gt;"",F498,IF(F467&gt;=0,2,""))</f>
        <v/>
      </c>
      <c r="G499" s="33" t="str">
        <f aca="false">IF(G498&lt;&gt;"",G498,IF(G467&gt;=0,2,""))</f>
        <v/>
      </c>
      <c r="H499" s="33" t="str">
        <f aca="false">IF(H498&lt;&gt;"",H498,IF(H467&gt;=0,2,""))</f>
        <v/>
      </c>
      <c r="I499" s="33" t="str">
        <f aca="false">IF(I498&lt;&gt;"",I498,IF(I467&gt;=0,2,""))</f>
        <v/>
      </c>
    </row>
    <row r="500" customFormat="false" ht="15" hidden="true" customHeight="true" outlineLevel="0" collapsed="false">
      <c r="B500" s="33" t="str">
        <f aca="false">IF(B499&lt;&gt;"",B499,IF(B468&gt;=0,3,""))</f>
        <v/>
      </c>
      <c r="C500" s="33" t="str">
        <f aca="false">IF(C499&lt;&gt;"",C499,IF(C468&gt;=0,3,""))</f>
        <v/>
      </c>
      <c r="D500" s="33" t="str">
        <f aca="false">IF(D499&lt;&gt;"",D499,IF(D468&gt;=0,3,""))</f>
        <v/>
      </c>
      <c r="E500" s="33" t="str">
        <f aca="false">IF(E499&lt;&gt;"",E499,IF(E468&gt;=0,3,""))</f>
        <v/>
      </c>
      <c r="F500" s="33" t="str">
        <f aca="false">IF(F499&lt;&gt;"",F499,IF(F468&gt;=0,3,""))</f>
        <v/>
      </c>
      <c r="G500" s="33" t="str">
        <f aca="false">IF(G499&lt;&gt;"",G499,IF(G468&gt;=0,3,""))</f>
        <v/>
      </c>
      <c r="H500" s="33" t="str">
        <f aca="false">IF(H499&lt;&gt;"",H499,IF(H468&gt;=0,3,""))</f>
        <v/>
      </c>
      <c r="I500" s="33" t="str">
        <f aca="false">IF(I499&lt;&gt;"",I499,IF(I468&gt;=0,3,""))</f>
        <v/>
      </c>
    </row>
    <row r="501" customFormat="false" ht="15" hidden="true" customHeight="true" outlineLevel="0" collapsed="false">
      <c r="B501" s="33" t="str">
        <f aca="false">IF(B500&lt;&gt;"",B500,IF(B469&gt;=0,4,""))</f>
        <v/>
      </c>
      <c r="C501" s="33" t="str">
        <f aca="false">IF(C500&lt;&gt;"",C500,IF(C469&gt;=0,4,""))</f>
        <v/>
      </c>
      <c r="D501" s="33" t="str">
        <f aca="false">IF(D500&lt;&gt;"",D500,IF(D469&gt;=0,4,""))</f>
        <v/>
      </c>
      <c r="E501" s="33" t="str">
        <f aca="false">IF(E500&lt;&gt;"",E500,IF(E469&gt;=0,4,""))</f>
        <v/>
      </c>
      <c r="F501" s="33" t="str">
        <f aca="false">IF(F500&lt;&gt;"",F500,IF(F469&gt;=0,4,""))</f>
        <v/>
      </c>
      <c r="G501" s="33" t="str">
        <f aca="false">IF(G500&lt;&gt;"",G500,IF(G469&gt;=0,4,""))</f>
        <v/>
      </c>
      <c r="H501" s="33" t="str">
        <f aca="false">IF(H500&lt;&gt;"",H500,IF(H469&gt;=0,4,""))</f>
        <v/>
      </c>
      <c r="I501" s="33" t="str">
        <f aca="false">IF(I500&lt;&gt;"",I500,IF(I469&gt;=0,4,""))</f>
        <v/>
      </c>
    </row>
    <row r="502" customFormat="false" ht="15" hidden="true" customHeight="true" outlineLevel="0" collapsed="false">
      <c r="B502" s="33" t="n">
        <f aca="false">IF(B501&lt;&gt;"",B501,IF(B470&gt;=0,5,""))</f>
        <v>5</v>
      </c>
      <c r="C502" s="33" t="str">
        <f aca="false">IF(C501&lt;&gt;"",C501,IF(C470&gt;=0,5,""))</f>
        <v/>
      </c>
      <c r="D502" s="33" t="str">
        <f aca="false">IF(D501&lt;&gt;"",D501,IF(D470&gt;=0,5,""))</f>
        <v/>
      </c>
      <c r="E502" s="33" t="str">
        <f aca="false">IF(E501&lt;&gt;"",E501,IF(E470&gt;=0,5,""))</f>
        <v/>
      </c>
      <c r="F502" s="33" t="str">
        <f aca="false">IF(F501&lt;&gt;"",F501,IF(F470&gt;=0,5,""))</f>
        <v/>
      </c>
      <c r="G502" s="33" t="str">
        <f aca="false">IF(G501&lt;&gt;"",G501,IF(G470&gt;=0,5,""))</f>
        <v/>
      </c>
      <c r="H502" s="33" t="str">
        <f aca="false">IF(H501&lt;&gt;"",H501,IF(H470&gt;=0,5,""))</f>
        <v/>
      </c>
      <c r="I502" s="33" t="str">
        <f aca="false">IF(I501&lt;&gt;"",I501,IF(I470&gt;=0,5,""))</f>
        <v/>
      </c>
    </row>
    <row r="503" customFormat="false" ht="15" hidden="true" customHeight="true" outlineLevel="0" collapsed="false">
      <c r="B503" s="33" t="n">
        <f aca="false">IF(B502&lt;&gt;"",B502,IF(B471&gt;=0,6,""))</f>
        <v>5</v>
      </c>
      <c r="C503" s="33" t="n">
        <f aca="false">IF(C502&lt;&gt;"",C502,IF(C471&gt;=0,6,""))</f>
        <v>6</v>
      </c>
      <c r="D503" s="33" t="str">
        <f aca="false">IF(D502&lt;&gt;"",D502,IF(D471&gt;=0,6,""))</f>
        <v/>
      </c>
      <c r="E503" s="33" t="str">
        <f aca="false">IF(E502&lt;&gt;"",E502,IF(E471&gt;=0,6,""))</f>
        <v/>
      </c>
      <c r="F503" s="33" t="str">
        <f aca="false">IF(F502&lt;&gt;"",F502,IF(F471&gt;=0,6,""))</f>
        <v/>
      </c>
      <c r="G503" s="33" t="str">
        <f aca="false">IF(G502&lt;&gt;"",G502,IF(G471&gt;=0,6,""))</f>
        <v/>
      </c>
      <c r="H503" s="33" t="str">
        <f aca="false">IF(H502&lt;&gt;"",H502,IF(H471&gt;=0,6,""))</f>
        <v/>
      </c>
      <c r="I503" s="33" t="str">
        <f aca="false">IF(I502&lt;&gt;"",I502,IF(I471&gt;=0,6,""))</f>
        <v/>
      </c>
    </row>
    <row r="504" customFormat="false" ht="15" hidden="true" customHeight="true" outlineLevel="0" collapsed="false">
      <c r="B504" s="33" t="n">
        <f aca="false">IF(B503&lt;&gt;"",B503,IF(B472&gt;=0,7,""))</f>
        <v>5</v>
      </c>
      <c r="C504" s="33" t="n">
        <f aca="false">IF(C503&lt;&gt;"",C503,IF(C472&gt;=0,7,""))</f>
        <v>6</v>
      </c>
      <c r="D504" s="33" t="str">
        <f aca="false">IF(D503&lt;&gt;"",D503,IF(D472&gt;=0,7,""))</f>
        <v/>
      </c>
      <c r="E504" s="33" t="str">
        <f aca="false">IF(E503&lt;&gt;"",E503,IF(E472&gt;=0,7,""))</f>
        <v/>
      </c>
      <c r="F504" s="33" t="str">
        <f aca="false">IF(F503&lt;&gt;"",F503,IF(F472&gt;=0,7,""))</f>
        <v/>
      </c>
      <c r="G504" s="33" t="str">
        <f aca="false">IF(G503&lt;&gt;"",G503,IF(G472&gt;=0,7,""))</f>
        <v/>
      </c>
      <c r="H504" s="33" t="str">
        <f aca="false">IF(H503&lt;&gt;"",H503,IF(H472&gt;=0,7,""))</f>
        <v/>
      </c>
      <c r="I504" s="33" t="str">
        <f aca="false">IF(I503&lt;&gt;"",I503,IF(I472&gt;=0,7,""))</f>
        <v/>
      </c>
    </row>
    <row r="505" customFormat="false" ht="15" hidden="true" customHeight="true" outlineLevel="0" collapsed="false">
      <c r="B505" s="33" t="n">
        <f aca="false">IF(B504&lt;&gt;"",B504,IF(B473&gt;=0,8,""))</f>
        <v>5</v>
      </c>
      <c r="C505" s="33" t="n">
        <f aca="false">IF(C504&lt;&gt;"",C504,IF(C473&gt;=0,8,""))</f>
        <v>6</v>
      </c>
      <c r="D505" s="33" t="n">
        <f aca="false">IF(D504&lt;&gt;"",D504,IF(D473&gt;=0,8,""))</f>
        <v>8</v>
      </c>
      <c r="E505" s="33" t="str">
        <f aca="false">IF(E504&lt;&gt;"",E504,IF(E473&gt;=0,8,""))</f>
        <v/>
      </c>
      <c r="F505" s="33" t="str">
        <f aca="false">IF(F504&lt;&gt;"",F504,IF(F473&gt;=0,8,""))</f>
        <v/>
      </c>
      <c r="G505" s="33" t="str">
        <f aca="false">IF(G504&lt;&gt;"",G504,IF(G473&gt;=0,8,""))</f>
        <v/>
      </c>
      <c r="H505" s="33" t="str">
        <f aca="false">IF(H504&lt;&gt;"",H504,IF(H473&gt;=0,8,""))</f>
        <v/>
      </c>
      <c r="I505" s="33" t="str">
        <f aca="false">IF(I504&lt;&gt;"",I504,IF(I473&gt;=0,8,""))</f>
        <v/>
      </c>
    </row>
    <row r="506" customFormat="false" ht="15" hidden="true" customHeight="true" outlineLevel="0" collapsed="false">
      <c r="B506" s="33" t="n">
        <f aca="false">IF(B505&lt;&gt;"",B505,IF(B474&gt;=0,9,""))</f>
        <v>5</v>
      </c>
      <c r="C506" s="33" t="n">
        <f aca="false">IF(C505&lt;&gt;"",C505,IF(C474&gt;=0,9,""))</f>
        <v>6</v>
      </c>
      <c r="D506" s="33" t="n">
        <f aca="false">IF(D505&lt;&gt;"",D505,IF(D474&gt;=0,9,""))</f>
        <v>8</v>
      </c>
      <c r="E506" s="33" t="str">
        <f aca="false">IF(E505&lt;&gt;"",E505,IF(E474&gt;=0,9,""))</f>
        <v/>
      </c>
      <c r="F506" s="33" t="str">
        <f aca="false">IF(F505&lt;&gt;"",F505,IF(F474&gt;=0,9,""))</f>
        <v/>
      </c>
      <c r="G506" s="33" t="str">
        <f aca="false">IF(G505&lt;&gt;"",G505,IF(G474&gt;=0,9,""))</f>
        <v/>
      </c>
      <c r="H506" s="33" t="str">
        <f aca="false">IF(H505&lt;&gt;"",H505,IF(H474&gt;=0,9,""))</f>
        <v/>
      </c>
      <c r="I506" s="33" t="str">
        <f aca="false">IF(I505&lt;&gt;"",I505,IF(I474&gt;=0,9,""))</f>
        <v/>
      </c>
    </row>
    <row r="507" customFormat="false" ht="15" hidden="true" customHeight="true" outlineLevel="0" collapsed="false">
      <c r="B507" s="33" t="n">
        <f aca="false">IF(B506&lt;&gt;"",B506,IF(B475&gt;=0,10,""))</f>
        <v>5</v>
      </c>
      <c r="C507" s="33" t="n">
        <f aca="false">IF(C506&lt;&gt;"",C506,IF(C475&gt;=0,10,""))</f>
        <v>6</v>
      </c>
      <c r="D507" s="33" t="n">
        <f aca="false">IF(D506&lt;&gt;"",D506,IF(D475&gt;=0,10,""))</f>
        <v>8</v>
      </c>
      <c r="E507" s="33" t="str">
        <f aca="false">IF(E506&lt;&gt;"",E506,IF(E475&gt;=0,10,""))</f>
        <v/>
      </c>
      <c r="F507" s="33" t="str">
        <f aca="false">IF(F506&lt;&gt;"",F506,IF(F475&gt;=0,10,""))</f>
        <v/>
      </c>
      <c r="G507" s="33" t="str">
        <f aca="false">IF(G506&lt;&gt;"",G506,IF(G475&gt;=0,10,""))</f>
        <v/>
      </c>
      <c r="H507" s="33" t="str">
        <f aca="false">IF(H506&lt;&gt;"",H506,IF(H475&gt;=0,10,""))</f>
        <v/>
      </c>
      <c r="I507" s="33" t="str">
        <f aca="false">IF(I506&lt;&gt;"",I506,IF(I475&gt;=0,10,""))</f>
        <v/>
      </c>
    </row>
    <row r="508" customFormat="false" ht="15" hidden="true" customHeight="true" outlineLevel="0" collapsed="false">
      <c r="B508" s="33" t="n">
        <f aca="false">IF(B507&lt;&gt;"",B507,IF(B476&gt;=0,11,""))</f>
        <v>5</v>
      </c>
      <c r="C508" s="33" t="n">
        <f aca="false">IF(C507&lt;&gt;"",C507,IF(C476&gt;=0,11,""))</f>
        <v>6</v>
      </c>
      <c r="D508" s="33" t="n">
        <f aca="false">IF(D507&lt;&gt;"",D507,IF(D476&gt;=0,11,""))</f>
        <v>8</v>
      </c>
      <c r="E508" s="33" t="n">
        <f aca="false">IF(E507&lt;&gt;"",E507,IF(E476&gt;=0,11,""))</f>
        <v>11</v>
      </c>
      <c r="F508" s="33" t="str">
        <f aca="false">IF(F507&lt;&gt;"",F507,IF(F476&gt;=0,11,""))</f>
        <v/>
      </c>
      <c r="G508" s="33" t="str">
        <f aca="false">IF(G507&lt;&gt;"",G507,IF(G476&gt;=0,11,""))</f>
        <v/>
      </c>
      <c r="H508" s="33" t="str">
        <f aca="false">IF(H507&lt;&gt;"",H507,IF(H476&gt;=0,11,""))</f>
        <v/>
      </c>
      <c r="I508" s="33" t="str">
        <f aca="false">IF(I507&lt;&gt;"",I507,IF(I476&gt;=0,11,""))</f>
        <v/>
      </c>
    </row>
    <row r="509" customFormat="false" ht="15" hidden="true" customHeight="true" outlineLevel="0" collapsed="false">
      <c r="B509" s="33" t="n">
        <f aca="false">IF(B508&lt;&gt;"",B508,IF(B477&gt;=0,12,""))</f>
        <v>5</v>
      </c>
      <c r="C509" s="33" t="n">
        <f aca="false">IF(C508&lt;&gt;"",C508,IF(C477&gt;=0,12,""))</f>
        <v>6</v>
      </c>
      <c r="D509" s="33" t="n">
        <f aca="false">IF(D508&lt;&gt;"",D508,IF(D477&gt;=0,12,""))</f>
        <v>8</v>
      </c>
      <c r="E509" s="33" t="n">
        <f aca="false">IF(E508&lt;&gt;"",E508,IF(E477&gt;=0,12,""))</f>
        <v>11</v>
      </c>
      <c r="F509" s="33" t="str">
        <f aca="false">IF(F508&lt;&gt;"",F508,IF(F477&gt;=0,12,""))</f>
        <v/>
      </c>
      <c r="G509" s="33" t="str">
        <f aca="false">IF(G508&lt;&gt;"",G508,IF(G477&gt;=0,12,""))</f>
        <v/>
      </c>
      <c r="H509" s="33" t="str">
        <f aca="false">IF(H508&lt;&gt;"",H508,IF(H477&gt;=0,12,""))</f>
        <v/>
      </c>
      <c r="I509" s="33" t="str">
        <f aca="false">IF(I508&lt;&gt;"",I508,IF(I477&gt;=0,12,""))</f>
        <v/>
      </c>
    </row>
    <row r="510" customFormat="false" ht="15" hidden="true" customHeight="true" outlineLevel="0" collapsed="false">
      <c r="B510" s="33" t="n">
        <f aca="false">IF(B509&lt;&gt;"",B509,IF(B478&gt;=0,13,""))</f>
        <v>5</v>
      </c>
      <c r="C510" s="33" t="n">
        <f aca="false">IF(C509&lt;&gt;"",C509,IF(C478&gt;=0,13,""))</f>
        <v>6</v>
      </c>
      <c r="D510" s="33" t="n">
        <f aca="false">IF(D509&lt;&gt;"",D509,IF(D478&gt;=0,13,""))</f>
        <v>8</v>
      </c>
      <c r="E510" s="33" t="n">
        <f aca="false">IF(E509&lt;&gt;"",E509,IF(E478&gt;=0,13,""))</f>
        <v>11</v>
      </c>
      <c r="F510" s="33" t="n">
        <f aca="false">IF(F509&lt;&gt;"",F509,IF(F478&gt;=0,13,""))</f>
        <v>13</v>
      </c>
      <c r="G510" s="33" t="str">
        <f aca="false">IF(G509&lt;&gt;"",G509,IF(G478&gt;=0,13,""))</f>
        <v/>
      </c>
      <c r="H510" s="33" t="str">
        <f aca="false">IF(H509&lt;&gt;"",H509,IF(H478&gt;=0,13,""))</f>
        <v/>
      </c>
      <c r="I510" s="33" t="str">
        <f aca="false">IF(I509&lt;&gt;"",I509,IF(I478&gt;=0,13,""))</f>
        <v/>
      </c>
    </row>
    <row r="511" customFormat="false" ht="15" hidden="true" customHeight="true" outlineLevel="0" collapsed="false">
      <c r="B511" s="33" t="n">
        <f aca="false">IF(B510&lt;&gt;"",B510,IF(B479&gt;=0,14,""))</f>
        <v>5</v>
      </c>
      <c r="C511" s="33" t="n">
        <f aca="false">IF(C510&lt;&gt;"",C510,IF(C479&gt;=0,14,""))</f>
        <v>6</v>
      </c>
      <c r="D511" s="33" t="n">
        <f aca="false">IF(D510&lt;&gt;"",D510,IF(D479&gt;=0,14,""))</f>
        <v>8</v>
      </c>
      <c r="E511" s="33" t="n">
        <f aca="false">IF(E510&lt;&gt;"",E510,IF(E479&gt;=0,14,""))</f>
        <v>11</v>
      </c>
      <c r="F511" s="33" t="n">
        <f aca="false">IF(F510&lt;&gt;"",F510,IF(F479&gt;=0,14,""))</f>
        <v>13</v>
      </c>
      <c r="G511" s="33" t="str">
        <f aca="false">IF(G510&lt;&gt;"",G510,IF(G479&gt;=0,14,""))</f>
        <v/>
      </c>
      <c r="H511" s="33" t="str">
        <f aca="false">IF(H510&lt;&gt;"",H510,IF(H479&gt;=0,14,""))</f>
        <v/>
      </c>
      <c r="I511" s="33" t="str">
        <f aca="false">IF(I510&lt;&gt;"",I510,IF(I479&gt;=0,14,""))</f>
        <v/>
      </c>
    </row>
    <row r="512" customFormat="false" ht="15" hidden="true" customHeight="true" outlineLevel="0" collapsed="false">
      <c r="B512" s="33" t="n">
        <f aca="false">IF(B511&lt;&gt;"",B511,IF(B480&gt;=0,15,""))</f>
        <v>5</v>
      </c>
      <c r="C512" s="33" t="n">
        <f aca="false">IF(C511&lt;&gt;"",C511,IF(C480&gt;=0,15,""))</f>
        <v>6</v>
      </c>
      <c r="D512" s="33" t="n">
        <f aca="false">IF(D511&lt;&gt;"",D511,IF(D480&gt;=0,15,""))</f>
        <v>8</v>
      </c>
      <c r="E512" s="33" t="n">
        <f aca="false">IF(E511&lt;&gt;"",E511,IF(E480&gt;=0,15,""))</f>
        <v>11</v>
      </c>
      <c r="F512" s="33" t="n">
        <f aca="false">IF(F511&lt;&gt;"",F511,IF(F480&gt;=0,15,""))</f>
        <v>13</v>
      </c>
      <c r="G512" s="33" t="str">
        <f aca="false">IF(G511&lt;&gt;"",G511,IF(G480&gt;=0,15,""))</f>
        <v/>
      </c>
      <c r="H512" s="33" t="str">
        <f aca="false">IF(H511&lt;&gt;"",H511,IF(H480&gt;=0,15,""))</f>
        <v/>
      </c>
      <c r="I512" s="33" t="str">
        <f aca="false">IF(I511&lt;&gt;"",I511,IF(I480&gt;=0,15,""))</f>
        <v/>
      </c>
    </row>
    <row r="513" customFormat="false" ht="15" hidden="true" customHeight="true" outlineLevel="0" collapsed="false">
      <c r="B513" s="33" t="n">
        <f aca="false">IF(B512&lt;&gt;"",B512,IF(B481&gt;=0,16,""))</f>
        <v>5</v>
      </c>
      <c r="C513" s="33" t="n">
        <f aca="false">IF(C512&lt;&gt;"",C512,IF(C481&gt;=0,16,""))</f>
        <v>6</v>
      </c>
      <c r="D513" s="33" t="n">
        <f aca="false">IF(D512&lt;&gt;"",D512,IF(D481&gt;=0,16,""))</f>
        <v>8</v>
      </c>
      <c r="E513" s="33" t="n">
        <f aca="false">IF(E512&lt;&gt;"",E512,IF(E481&gt;=0,16,""))</f>
        <v>11</v>
      </c>
      <c r="F513" s="33" t="n">
        <f aca="false">IF(F512&lt;&gt;"",F512,IF(F481&gt;=0,16,""))</f>
        <v>13</v>
      </c>
      <c r="G513" s="33" t="n">
        <f aca="false">IF(G512&lt;&gt;"",G512,IF(G481&gt;=0,16,""))</f>
        <v>16</v>
      </c>
      <c r="H513" s="33" t="str">
        <f aca="false">IF(H512&lt;&gt;"",H512,IF(H481&gt;=0,16,""))</f>
        <v/>
      </c>
      <c r="I513" s="33" t="str">
        <f aca="false">IF(I512&lt;&gt;"",I512,IF(I481&gt;=0,16,""))</f>
        <v/>
      </c>
    </row>
    <row r="514" customFormat="false" ht="15" hidden="true" customHeight="true" outlineLevel="0" collapsed="false">
      <c r="B514" s="33" t="n">
        <f aca="false">IF(B513&lt;&gt;"",B513,IF(B482&gt;=0,17,""))</f>
        <v>5</v>
      </c>
      <c r="C514" s="33" t="n">
        <f aca="false">IF(C513&lt;&gt;"",C513,IF(C482&gt;=0,17,""))</f>
        <v>6</v>
      </c>
      <c r="D514" s="33" t="n">
        <f aca="false">IF(D513&lt;&gt;"",D513,IF(D482&gt;=0,17,""))</f>
        <v>8</v>
      </c>
      <c r="E514" s="33" t="n">
        <f aca="false">IF(E513&lt;&gt;"",E513,IF(E482&gt;=0,17,""))</f>
        <v>11</v>
      </c>
      <c r="F514" s="33" t="n">
        <f aca="false">IF(F513&lt;&gt;"",F513,IF(F482&gt;=0,17,""))</f>
        <v>13</v>
      </c>
      <c r="G514" s="33" t="n">
        <f aca="false">IF(G513&lt;&gt;"",G513,IF(G482&gt;=0,17,""))</f>
        <v>16</v>
      </c>
      <c r="H514" s="33" t="str">
        <f aca="false">IF(H513&lt;&gt;"",H513,IF(H482&gt;=0,17,""))</f>
        <v/>
      </c>
      <c r="I514" s="33" t="str">
        <f aca="false">IF(I513&lt;&gt;"",I513,IF(I482&gt;=0,17,""))</f>
        <v/>
      </c>
    </row>
    <row r="515" customFormat="false" ht="15" hidden="true" customHeight="true" outlineLevel="0" collapsed="false">
      <c r="B515" s="33" t="n">
        <f aca="false">IF(B514&lt;&gt;"",B514,IF(B483&gt;=0,18,""))</f>
        <v>5</v>
      </c>
      <c r="C515" s="33" t="n">
        <f aca="false">IF(C514&lt;&gt;"",C514,IF(C483&gt;=0,18,""))</f>
        <v>6</v>
      </c>
      <c r="D515" s="33" t="n">
        <f aca="false">IF(D514&lt;&gt;"",D514,IF(D483&gt;=0,18,""))</f>
        <v>8</v>
      </c>
      <c r="E515" s="33" t="n">
        <f aca="false">IF(E514&lt;&gt;"",E514,IF(E483&gt;=0,18,""))</f>
        <v>11</v>
      </c>
      <c r="F515" s="33" t="n">
        <f aca="false">IF(F514&lt;&gt;"",F514,IF(F483&gt;=0,18,""))</f>
        <v>13</v>
      </c>
      <c r="G515" s="33" t="n">
        <f aca="false">IF(G514&lt;&gt;"",G514,IF(G483&gt;=0,18,""))</f>
        <v>16</v>
      </c>
      <c r="H515" s="33" t="str">
        <f aca="false">IF(H514&lt;&gt;"",H514,IF(H483&gt;=0,18,""))</f>
        <v/>
      </c>
      <c r="I515" s="33" t="str">
        <f aca="false">IF(I514&lt;&gt;"",I514,IF(I483&gt;=0,18,""))</f>
        <v/>
      </c>
    </row>
    <row r="516" customFormat="false" ht="15" hidden="true" customHeight="true" outlineLevel="0" collapsed="false">
      <c r="B516" s="33" t="n">
        <f aca="false">IF(B515&lt;&gt;"",B515,IF(B484&gt;=0,19,""))</f>
        <v>5</v>
      </c>
      <c r="C516" s="33" t="n">
        <f aca="false">IF(C515&lt;&gt;"",C515,IF(C484&gt;=0,19,""))</f>
        <v>6</v>
      </c>
      <c r="D516" s="33" t="n">
        <f aca="false">IF(D515&lt;&gt;"",D515,IF(D484&gt;=0,19,""))</f>
        <v>8</v>
      </c>
      <c r="E516" s="33" t="n">
        <f aca="false">IF(E515&lt;&gt;"",E515,IF(E484&gt;=0,19,""))</f>
        <v>11</v>
      </c>
      <c r="F516" s="33" t="n">
        <f aca="false">IF(F515&lt;&gt;"",F515,IF(F484&gt;=0,19,""))</f>
        <v>13</v>
      </c>
      <c r="G516" s="33" t="n">
        <f aca="false">IF(G515&lt;&gt;"",G515,IF(G484&gt;=0,19,""))</f>
        <v>16</v>
      </c>
      <c r="H516" s="33" t="str">
        <f aca="false">IF(H515&lt;&gt;"",H515,IF(H484&gt;=0,19,""))</f>
        <v/>
      </c>
      <c r="I516" s="33" t="str">
        <f aca="false">IF(I515&lt;&gt;"",I515,IF(I484&gt;=0,19,""))</f>
        <v/>
      </c>
    </row>
    <row r="517" customFormat="false" ht="15" hidden="true" customHeight="true" outlineLevel="0" collapsed="false">
      <c r="B517" s="33" t="n">
        <f aca="false">IF(B516&lt;&gt;"",B516,IF(B485&gt;=0,20,""))</f>
        <v>5</v>
      </c>
      <c r="C517" s="33" t="n">
        <f aca="false">IF(C516&lt;&gt;"",C516,IF(C485&gt;=0,20,""))</f>
        <v>6</v>
      </c>
      <c r="D517" s="33" t="n">
        <f aca="false">IF(D516&lt;&gt;"",D516,IF(D485&gt;=0,20,""))</f>
        <v>8</v>
      </c>
      <c r="E517" s="33" t="n">
        <f aca="false">IF(E516&lt;&gt;"",E516,IF(E485&gt;=0,20,""))</f>
        <v>11</v>
      </c>
      <c r="F517" s="33" t="n">
        <f aca="false">IF(F516&lt;&gt;"",F516,IF(F485&gt;=0,20,""))</f>
        <v>13</v>
      </c>
      <c r="G517" s="33" t="n">
        <f aca="false">IF(G516&lt;&gt;"",G516,IF(G485&gt;=0,20,""))</f>
        <v>16</v>
      </c>
      <c r="H517" s="33" t="str">
        <f aca="false">IF(H516&lt;&gt;"",H516,IF(H485&gt;=0,20,""))</f>
        <v/>
      </c>
      <c r="I517" s="33" t="str">
        <f aca="false">IF(I516&lt;&gt;"",I516,IF(I485&gt;=0,20,""))</f>
        <v/>
      </c>
    </row>
    <row r="518" customFormat="false" ht="15" hidden="true" customHeight="true" outlineLevel="0" collapsed="false">
      <c r="B518" s="33" t="n">
        <f aca="false">IF(B517&lt;&gt;"",B517,IF(B486&gt;=0,21,""))</f>
        <v>5</v>
      </c>
      <c r="C518" s="33" t="n">
        <f aca="false">IF(C517&lt;&gt;"",C517,IF(C486&gt;=0,21,""))</f>
        <v>6</v>
      </c>
      <c r="D518" s="33" t="n">
        <f aca="false">IF(D517&lt;&gt;"",D517,IF(D486&gt;=0,21,""))</f>
        <v>8</v>
      </c>
      <c r="E518" s="33" t="n">
        <f aca="false">IF(E517&lt;&gt;"",E517,IF(E486&gt;=0,21,""))</f>
        <v>11</v>
      </c>
      <c r="F518" s="33" t="n">
        <f aca="false">IF(F517&lt;&gt;"",F517,IF(F486&gt;=0,21,""))</f>
        <v>13</v>
      </c>
      <c r="G518" s="33" t="n">
        <f aca="false">IF(G517&lt;&gt;"",G517,IF(G486&gt;=0,21,""))</f>
        <v>16</v>
      </c>
      <c r="H518" s="33" t="str">
        <f aca="false">IF(H517&lt;&gt;"",H517,IF(H486&gt;=0,21,""))</f>
        <v/>
      </c>
      <c r="I518" s="33" t="str">
        <f aca="false">IF(I517&lt;&gt;"",I517,IF(I486&gt;=0,21,""))</f>
        <v/>
      </c>
    </row>
    <row r="519" customFormat="false" ht="15" hidden="true" customHeight="true" outlineLevel="0" collapsed="false">
      <c r="B519" s="33" t="n">
        <f aca="false">IF(B518&lt;&gt;"",B518,IF(B487&gt;=0,22,""))</f>
        <v>5</v>
      </c>
      <c r="C519" s="33" t="n">
        <f aca="false">IF(C518&lt;&gt;"",C518,IF(C487&gt;=0,22,""))</f>
        <v>6</v>
      </c>
      <c r="D519" s="33" t="n">
        <f aca="false">IF(D518&lt;&gt;"",D518,IF(D487&gt;=0,22,""))</f>
        <v>8</v>
      </c>
      <c r="E519" s="33" t="n">
        <f aca="false">IF(E518&lt;&gt;"",E518,IF(E487&gt;=0,22,""))</f>
        <v>11</v>
      </c>
      <c r="F519" s="33" t="n">
        <f aca="false">IF(F518&lt;&gt;"",F518,IF(F487&gt;=0,22,""))</f>
        <v>13</v>
      </c>
      <c r="G519" s="33" t="n">
        <f aca="false">IF(G518&lt;&gt;"",G518,IF(G487&gt;=0,22,""))</f>
        <v>16</v>
      </c>
      <c r="H519" s="33" t="str">
        <f aca="false">IF(H518&lt;&gt;"",H518,IF(H487&gt;=0,22,""))</f>
        <v/>
      </c>
      <c r="I519" s="33" t="str">
        <f aca="false">IF(I518&lt;&gt;"",I518,IF(I487&gt;=0,22,""))</f>
        <v/>
      </c>
    </row>
    <row r="520" customFormat="false" ht="15" hidden="true" customHeight="true" outlineLevel="0" collapsed="false">
      <c r="B520" s="33" t="n">
        <f aca="false">IF(B519&lt;&gt;"",B519,IF(B488&gt;=0,23,""))</f>
        <v>5</v>
      </c>
      <c r="C520" s="33" t="n">
        <f aca="false">IF(C519&lt;&gt;"",C519,IF(C488&gt;=0,23,""))</f>
        <v>6</v>
      </c>
      <c r="D520" s="33" t="n">
        <f aca="false">IF(D519&lt;&gt;"",D519,IF(D488&gt;=0,23,""))</f>
        <v>8</v>
      </c>
      <c r="E520" s="33" t="n">
        <f aca="false">IF(E519&lt;&gt;"",E519,IF(E488&gt;=0,23,""))</f>
        <v>11</v>
      </c>
      <c r="F520" s="33" t="n">
        <f aca="false">IF(F519&lt;&gt;"",F519,IF(F488&gt;=0,23,""))</f>
        <v>13</v>
      </c>
      <c r="G520" s="33" t="n">
        <f aca="false">IF(G519&lt;&gt;"",G519,IF(G488&gt;=0,23,""))</f>
        <v>16</v>
      </c>
      <c r="H520" s="33" t="str">
        <f aca="false">IF(H519&lt;&gt;"",H519,IF(H488&gt;=0,23,""))</f>
        <v/>
      </c>
      <c r="I520" s="33" t="str">
        <f aca="false">IF(I519&lt;&gt;"",I519,IF(I488&gt;=0,23,""))</f>
        <v/>
      </c>
    </row>
    <row r="521" customFormat="false" ht="15" hidden="true" customHeight="true" outlineLevel="0" collapsed="false">
      <c r="B521" s="33" t="n">
        <f aca="false">IF(B520&lt;&gt;"",B520,IF(B489&gt;=0,24,""))</f>
        <v>5</v>
      </c>
      <c r="C521" s="33" t="n">
        <f aca="false">IF(C520&lt;&gt;"",C520,IF(C489&gt;=0,24,""))</f>
        <v>6</v>
      </c>
      <c r="D521" s="33" t="n">
        <f aca="false">IF(D520&lt;&gt;"",D520,IF(D489&gt;=0,24,""))</f>
        <v>8</v>
      </c>
      <c r="E521" s="33" t="n">
        <f aca="false">IF(E520&lt;&gt;"",E520,IF(E489&gt;=0,24,""))</f>
        <v>11</v>
      </c>
      <c r="F521" s="33" t="n">
        <f aca="false">IF(F520&lt;&gt;"",F520,IF(F489&gt;=0,24,""))</f>
        <v>13</v>
      </c>
      <c r="G521" s="33" t="n">
        <f aca="false">IF(G520&lt;&gt;"",G520,IF(G489&gt;=0,24,""))</f>
        <v>16</v>
      </c>
      <c r="H521" s="33" t="n">
        <f aca="false">IF(H520&lt;&gt;"",H520,IF(H489&gt;=0,24,""))</f>
        <v>24</v>
      </c>
      <c r="I521" s="33" t="str">
        <f aca="false">IF(I520&lt;&gt;"",I520,IF(I489&gt;=0,24,""))</f>
        <v/>
      </c>
    </row>
    <row r="522" customFormat="false" ht="15" hidden="true" customHeight="true" outlineLevel="0" collapsed="false">
      <c r="B522" s="33" t="n">
        <f aca="false">IF(B521&lt;&gt;"",B521,IF(B490&gt;=0,25,""))</f>
        <v>5</v>
      </c>
      <c r="C522" s="33" t="n">
        <f aca="false">IF(C521&lt;&gt;"",C521,IF(C490&gt;=0,25,""))</f>
        <v>6</v>
      </c>
      <c r="D522" s="33" t="n">
        <f aca="false">IF(D521&lt;&gt;"",D521,IF(D490&gt;=0,25,""))</f>
        <v>8</v>
      </c>
      <c r="E522" s="33" t="n">
        <f aca="false">IF(E521&lt;&gt;"",E521,IF(E490&gt;=0,25,""))</f>
        <v>11</v>
      </c>
      <c r="F522" s="33" t="n">
        <f aca="false">IF(F521&lt;&gt;"",F521,IF(F490&gt;=0,25,""))</f>
        <v>13</v>
      </c>
      <c r="G522" s="33" t="n">
        <f aca="false">IF(G521&lt;&gt;"",G521,IF(G490&gt;=0,25,""))</f>
        <v>16</v>
      </c>
      <c r="H522" s="33" t="n">
        <f aca="false">IF(H521&lt;&gt;"",H521,IF(H490&gt;=0,25,""))</f>
        <v>24</v>
      </c>
      <c r="I522" s="33" t="str">
        <f aca="false">IF(I521&lt;&gt;"",I521,IF(I490&gt;=0,25,""))</f>
        <v/>
      </c>
    </row>
    <row r="523" customFormat="false" ht="15" hidden="true" customHeight="true" outlineLevel="0" collapsed="false">
      <c r="B523" s="33" t="n">
        <f aca="false">IF(B522&lt;&gt;"",B522,IF(B491&gt;=0,26,""))</f>
        <v>5</v>
      </c>
      <c r="C523" s="33" t="n">
        <f aca="false">IF(C522&lt;&gt;"",C522,IF(C491&gt;=0,26,""))</f>
        <v>6</v>
      </c>
      <c r="D523" s="33" t="n">
        <f aca="false">IF(D522&lt;&gt;"",D522,IF(D491&gt;=0,26,""))</f>
        <v>8</v>
      </c>
      <c r="E523" s="33" t="n">
        <f aca="false">IF(E522&lt;&gt;"",E522,IF(E491&gt;=0,26,""))</f>
        <v>11</v>
      </c>
      <c r="F523" s="33" t="n">
        <f aca="false">IF(F522&lt;&gt;"",F522,IF(F491&gt;=0,26,""))</f>
        <v>13</v>
      </c>
      <c r="G523" s="33" t="n">
        <f aca="false">IF(G522&lt;&gt;"",G522,IF(G491&gt;=0,26,""))</f>
        <v>16</v>
      </c>
      <c r="H523" s="33" t="n">
        <f aca="false">IF(H522&lt;&gt;"",H522,IF(H491&gt;=0,26,""))</f>
        <v>24</v>
      </c>
      <c r="I523" s="33" t="str">
        <f aca="false">IF(I522&lt;&gt;"",I522,IF(I491&gt;=0,26,""))</f>
        <v/>
      </c>
    </row>
    <row r="524" customFormat="false" ht="15" hidden="true" customHeight="true" outlineLevel="0" collapsed="false">
      <c r="B524" s="33" t="n">
        <f aca="false">IF(B523&lt;&gt;"",B523,IF(B492&gt;=0,27,""))</f>
        <v>5</v>
      </c>
      <c r="C524" s="33" t="n">
        <f aca="false">IF(C523&lt;&gt;"",C523,IF(C492&gt;=0,27,""))</f>
        <v>6</v>
      </c>
      <c r="D524" s="33" t="n">
        <f aca="false">IF(D523&lt;&gt;"",D523,IF(D492&gt;=0,27,""))</f>
        <v>8</v>
      </c>
      <c r="E524" s="33" t="n">
        <f aca="false">IF(E523&lt;&gt;"",E523,IF(E492&gt;=0,27,""))</f>
        <v>11</v>
      </c>
      <c r="F524" s="33" t="n">
        <f aca="false">IF(F523&lt;&gt;"",F523,IF(F492&gt;=0,27,""))</f>
        <v>13</v>
      </c>
      <c r="G524" s="33" t="n">
        <f aca="false">IF(G523&lt;&gt;"",G523,IF(G492&gt;=0,27,""))</f>
        <v>16</v>
      </c>
      <c r="H524" s="33" t="n">
        <f aca="false">IF(H523&lt;&gt;"",H523,IF(H492&gt;=0,27,""))</f>
        <v>24</v>
      </c>
      <c r="I524" s="33" t="str">
        <f aca="false">IF(I523&lt;&gt;"",I523,IF(I492&gt;=0,27,""))</f>
        <v/>
      </c>
    </row>
    <row r="525" customFormat="false" ht="15" hidden="true" customHeight="true" outlineLevel="0" collapsed="false">
      <c r="B525" s="33" t="n">
        <f aca="false">IF(B524&lt;&gt;"",B524,IF(B493&gt;=0,28,""))</f>
        <v>5</v>
      </c>
      <c r="C525" s="33" t="n">
        <f aca="false">IF(C524&lt;&gt;"",C524,IF(C493&gt;=0,28,""))</f>
        <v>6</v>
      </c>
      <c r="D525" s="33" t="n">
        <f aca="false">IF(D524&lt;&gt;"",D524,IF(D493&gt;=0,28,""))</f>
        <v>8</v>
      </c>
      <c r="E525" s="33" t="n">
        <f aca="false">IF(E524&lt;&gt;"",E524,IF(E493&gt;=0,28,""))</f>
        <v>11</v>
      </c>
      <c r="F525" s="33" t="n">
        <f aca="false">IF(F524&lt;&gt;"",F524,IF(F493&gt;=0,28,""))</f>
        <v>13</v>
      </c>
      <c r="G525" s="33" t="n">
        <f aca="false">IF(G524&lt;&gt;"",G524,IF(G493&gt;=0,28,""))</f>
        <v>16</v>
      </c>
      <c r="H525" s="33" t="n">
        <f aca="false">IF(H524&lt;&gt;"",H524,IF(H493&gt;=0,28,""))</f>
        <v>24</v>
      </c>
      <c r="I525" s="33" t="str">
        <f aca="false">IF(I524&lt;&gt;"",I524,IF(I493&gt;=0,28,""))</f>
        <v/>
      </c>
    </row>
    <row r="526" customFormat="false" ht="15" hidden="true" customHeight="true" outlineLevel="0" collapsed="false">
      <c r="B526" s="33" t="n">
        <f aca="false">IF(B525&lt;&gt;"",B525,IF(B494&gt;=0,29,""))</f>
        <v>5</v>
      </c>
      <c r="C526" s="33" t="n">
        <f aca="false">IF(C525&lt;&gt;"",C525,IF(C494&gt;=0,29,""))</f>
        <v>6</v>
      </c>
      <c r="D526" s="33" t="n">
        <f aca="false">IF(D525&lt;&gt;"",D525,IF(D494&gt;=0,29,""))</f>
        <v>8</v>
      </c>
      <c r="E526" s="33" t="n">
        <f aca="false">IF(E525&lt;&gt;"",E525,IF(E494&gt;=0,29,""))</f>
        <v>11</v>
      </c>
      <c r="F526" s="33" t="n">
        <f aca="false">IF(F525&lt;&gt;"",F525,IF(F494&gt;=0,29,""))</f>
        <v>13</v>
      </c>
      <c r="G526" s="33" t="n">
        <f aca="false">IF(G525&lt;&gt;"",G525,IF(G494&gt;=0,29,""))</f>
        <v>16</v>
      </c>
      <c r="H526" s="33" t="n">
        <f aca="false">IF(H525&lt;&gt;"",H525,IF(H494&gt;=0,29,""))</f>
        <v>24</v>
      </c>
      <c r="I526" s="33" t="str">
        <f aca="false">IF(I525&lt;&gt;"",I525,IF(I494&gt;=0,29,""))</f>
        <v/>
      </c>
    </row>
    <row r="527" customFormat="false" ht="15" hidden="true" customHeight="true" outlineLevel="0" collapsed="false">
      <c r="B527" s="33" t="n">
        <f aca="false">IF(B526&lt;&gt;"",B526,IF(B495&gt;=0,30,""))</f>
        <v>5</v>
      </c>
      <c r="C527" s="33" t="n">
        <f aca="false">IF(C526&lt;&gt;"",C526,IF(C495&gt;=0,30,""))</f>
        <v>6</v>
      </c>
      <c r="D527" s="33" t="n">
        <f aca="false">IF(D526&lt;&gt;"",D526,IF(D495&gt;=0,30,""))</f>
        <v>8</v>
      </c>
      <c r="E527" s="33" t="n">
        <f aca="false">IF(E526&lt;&gt;"",E526,IF(E495&gt;=0,30,""))</f>
        <v>11</v>
      </c>
      <c r="F527" s="33" t="n">
        <f aca="false">IF(F526&lt;&gt;"",F526,IF(F495&gt;=0,30,""))</f>
        <v>13</v>
      </c>
      <c r="G527" s="33" t="n">
        <f aca="false">IF(G526&lt;&gt;"",G526,IF(G495&gt;=0,30,""))</f>
        <v>16</v>
      </c>
      <c r="H527" s="33" t="n">
        <f aca="false">IF(H526&lt;&gt;"",H526,IF(H495&gt;=0,30,""))</f>
        <v>24</v>
      </c>
      <c r="I527" s="33" t="str">
        <f aca="false">IF(I526&lt;&gt;"",I526,IF(I495&gt;=0,30,""))</f>
        <v/>
      </c>
    </row>
    <row r="528" customFormat="false" ht="15" hidden="true" customHeight="true" outlineLevel="0" collapsed="false"/>
    <row r="530" customFormat="false" ht="15" hidden="false" customHeight="true" outlineLevel="0" collapsed="false">
      <c r="A530" s="10" t="s">
        <v>100</v>
      </c>
      <c r="B530" s="11"/>
      <c r="C530" s="11"/>
      <c r="D530" s="11"/>
      <c r="E530" s="11"/>
      <c r="F530" s="11"/>
      <c r="G530" s="11"/>
      <c r="H530" s="11"/>
    </row>
    <row r="531" customFormat="false" ht="15" hidden="false" customHeight="true" outlineLevel="0" collapsed="false">
      <c r="A531" s="22" t="s">
        <v>87</v>
      </c>
      <c r="B531" s="15" t="n">
        <v>0</v>
      </c>
      <c r="C531" s="15" t="n">
        <v>0.01</v>
      </c>
      <c r="D531" s="15" t="n">
        <v>0.02</v>
      </c>
      <c r="E531" s="15" t="n">
        <v>0.03</v>
      </c>
      <c r="F531" s="15" t="n">
        <v>0.04</v>
      </c>
      <c r="G531" s="15" t="n">
        <v>0.05</v>
      </c>
      <c r="H531" s="15" t="n">
        <v>0.06</v>
      </c>
    </row>
    <row r="532" customFormat="false" ht="15" hidden="false" customHeight="true" outlineLevel="0" collapsed="false">
      <c r="A532" s="22" t="s">
        <v>88</v>
      </c>
      <c r="B532" s="31" t="str">
        <f aca="false">IF(B790="","Never",B790)</f>
        <v>Never</v>
      </c>
      <c r="C532" s="31" t="str">
        <f aca="false">IF(C790="","Never",C790)</f>
        <v>Never</v>
      </c>
      <c r="D532" s="31" t="str">
        <f aca="false">IF(D790="","Never",D790)</f>
        <v>Never</v>
      </c>
      <c r="E532" s="31" t="n">
        <f aca="false">IF(E790="","Never",E790)</f>
        <v>30</v>
      </c>
      <c r="F532" s="31" t="n">
        <f aca="false">IF(F790="","Never",F790)</f>
        <v>16</v>
      </c>
      <c r="G532" s="31" t="n">
        <f aca="false">IF(G790="","Never",G790)</f>
        <v>13</v>
      </c>
      <c r="H532" s="31" t="n">
        <f aca="false">IF(H790="","Never",H790)</f>
        <v>11</v>
      </c>
    </row>
    <row r="533" customFormat="false" ht="15" hidden="false" customHeight="true" outlineLevel="0" collapsed="false">
      <c r="A533" s="22" t="s">
        <v>60</v>
      </c>
      <c r="B533" s="24" t="n">
        <f aca="false">INDEX(B728:B758,Inputs!$B$24+1)</f>
        <v>-72594.7455059605</v>
      </c>
      <c r="C533" s="24" t="n">
        <f aca="false">INDEX(C728:C758,Inputs!$B$24+1)</f>
        <v>-66110.6360262186</v>
      </c>
      <c r="D533" s="24" t="n">
        <f aca="false">INDEX(D728:D758,Inputs!$B$24+1)</f>
        <v>-59416.2271975987</v>
      </c>
      <c r="E533" s="24" t="n">
        <f aca="false">INDEX(E728:E758,Inputs!$B$24+1)</f>
        <v>-52505.3241227269</v>
      </c>
      <c r="F533" s="24" t="n">
        <f aca="false">INDEX(F728:F758,Inputs!$B$24+1)</f>
        <v>-45371.5859759739</v>
      </c>
      <c r="G533" s="24" t="n">
        <f aca="false">INDEX(G728:G758,Inputs!$B$24+1)</f>
        <v>-38008.5236269249</v>
      </c>
      <c r="H533" s="24" t="n">
        <f aca="false">INDEX(H728:H758,Inputs!$B$24+1)</f>
        <v>-30409.4972440705</v>
      </c>
    </row>
    <row r="534" customFormat="false" ht="15" hidden="false" customHeight="true" outlineLevel="0" collapsed="false">
      <c r="A534" s="16" t="s">
        <v>89</v>
      </c>
      <c r="B534" s="32" t="str">
        <f aca="false">IF(ROUND(B531,4)=ROUND(Inputs!$B$19,4),"&lt;- your input","")</f>
        <v/>
      </c>
      <c r="C534" s="32" t="str">
        <f aca="false">IF(ROUND(C531,4)=ROUND(Inputs!$B$19,4),"&lt;- your input","")</f>
        <v/>
      </c>
      <c r="D534" s="32" t="str">
        <f aca="false">IF(ROUND(D531,4)=ROUND(Inputs!$B$19,4),"&lt;- your input","")</f>
        <v/>
      </c>
      <c r="E534" s="32" t="str">
        <f aca="false">IF(ROUND(E531,4)=ROUND(Inputs!$B$19,4),"&lt;- your input","")</f>
        <v>&lt;- your input</v>
      </c>
      <c r="F534" s="32" t="str">
        <f aca="false">IF(ROUND(F531,4)=ROUND(Inputs!$B$19,4),"&lt;- your input","")</f>
        <v/>
      </c>
      <c r="G534" s="32" t="str">
        <f aca="false">IF(ROUND(G531,4)=ROUND(Inputs!$B$19,4),"&lt;- your input","")</f>
        <v/>
      </c>
      <c r="H534" s="32" t="str">
        <f aca="false">IF(ROUND(H531,4)=ROUND(Inputs!$B$19,4),"&lt;- your input","")</f>
        <v/>
      </c>
    </row>
    <row r="535" customFormat="false" ht="15" hidden="true" customHeight="true" outlineLevel="0" collapsed="false">
      <c r="A535" s="16" t="s">
        <v>90</v>
      </c>
    </row>
    <row r="536" customFormat="false" ht="15" hidden="true" customHeight="true" outlineLevel="0" collapsed="false">
      <c r="A536" s="33" t="s">
        <v>91</v>
      </c>
      <c r="B536" s="34" t="n">
        <f aca="false">Inputs!$B$4</f>
        <v>429100</v>
      </c>
      <c r="C536" s="34" t="n">
        <f aca="false">Inputs!$B$4</f>
        <v>429100</v>
      </c>
      <c r="D536" s="34" t="n">
        <f aca="false">Inputs!$B$4</f>
        <v>429100</v>
      </c>
      <c r="E536" s="34" t="n">
        <f aca="false">Inputs!$B$4</f>
        <v>429100</v>
      </c>
      <c r="F536" s="34" t="n">
        <f aca="false">Inputs!$B$4</f>
        <v>429100</v>
      </c>
      <c r="G536" s="34" t="n">
        <f aca="false">Inputs!$B$4</f>
        <v>429100</v>
      </c>
      <c r="H536" s="34" t="n">
        <f aca="false">Inputs!$B$4</f>
        <v>429100</v>
      </c>
    </row>
    <row r="537" customFormat="false" ht="15" hidden="true" customHeight="true" outlineLevel="0" collapsed="false">
      <c r="B537" s="34" t="n">
        <f aca="false">B536*(1+Inputs!$B$13)</f>
        <v>441973</v>
      </c>
      <c r="C537" s="34" t="n">
        <f aca="false">C536*(1+Inputs!$B$13)</f>
        <v>441973</v>
      </c>
      <c r="D537" s="34" t="n">
        <f aca="false">D536*(1+Inputs!$B$13)</f>
        <v>441973</v>
      </c>
      <c r="E537" s="34" t="n">
        <f aca="false">E536*(1+Inputs!$B$13)</f>
        <v>441973</v>
      </c>
      <c r="F537" s="34" t="n">
        <f aca="false">F536*(1+Inputs!$B$13)</f>
        <v>441973</v>
      </c>
      <c r="G537" s="34" t="n">
        <f aca="false">G536*(1+Inputs!$B$13)</f>
        <v>441973</v>
      </c>
      <c r="H537" s="34" t="n">
        <f aca="false">H536*(1+Inputs!$B$13)</f>
        <v>441973</v>
      </c>
    </row>
    <row r="538" customFormat="false" ht="15" hidden="true" customHeight="true" outlineLevel="0" collapsed="false">
      <c r="B538" s="34" t="n">
        <f aca="false">B537*(1+Inputs!$B$13)</f>
        <v>455232.19</v>
      </c>
      <c r="C538" s="34" t="n">
        <f aca="false">C537*(1+Inputs!$B$13)</f>
        <v>455232.19</v>
      </c>
      <c r="D538" s="34" t="n">
        <f aca="false">D537*(1+Inputs!$B$13)</f>
        <v>455232.19</v>
      </c>
      <c r="E538" s="34" t="n">
        <f aca="false">E537*(1+Inputs!$B$13)</f>
        <v>455232.19</v>
      </c>
      <c r="F538" s="34" t="n">
        <f aca="false">F537*(1+Inputs!$B$13)</f>
        <v>455232.19</v>
      </c>
      <c r="G538" s="34" t="n">
        <f aca="false">G537*(1+Inputs!$B$13)</f>
        <v>455232.19</v>
      </c>
      <c r="H538" s="34" t="n">
        <f aca="false">H537*(1+Inputs!$B$13)</f>
        <v>455232.19</v>
      </c>
    </row>
    <row r="539" customFormat="false" ht="15" hidden="true" customHeight="true" outlineLevel="0" collapsed="false">
      <c r="B539" s="34" t="n">
        <f aca="false">B538*(1+Inputs!$B$13)</f>
        <v>468889.1557</v>
      </c>
      <c r="C539" s="34" t="n">
        <f aca="false">C538*(1+Inputs!$B$13)</f>
        <v>468889.1557</v>
      </c>
      <c r="D539" s="34" t="n">
        <f aca="false">D538*(1+Inputs!$B$13)</f>
        <v>468889.1557</v>
      </c>
      <c r="E539" s="34" t="n">
        <f aca="false">E538*(1+Inputs!$B$13)</f>
        <v>468889.1557</v>
      </c>
      <c r="F539" s="34" t="n">
        <f aca="false">F538*(1+Inputs!$B$13)</f>
        <v>468889.1557</v>
      </c>
      <c r="G539" s="34" t="n">
        <f aca="false">G538*(1+Inputs!$B$13)</f>
        <v>468889.1557</v>
      </c>
      <c r="H539" s="34" t="n">
        <f aca="false">H538*(1+Inputs!$B$13)</f>
        <v>468889.1557</v>
      </c>
    </row>
    <row r="540" customFormat="false" ht="15" hidden="true" customHeight="true" outlineLevel="0" collapsed="false">
      <c r="B540" s="34" t="n">
        <f aca="false">B539*(1+Inputs!$B$13)</f>
        <v>482955.830371</v>
      </c>
      <c r="C540" s="34" t="n">
        <f aca="false">C539*(1+Inputs!$B$13)</f>
        <v>482955.830371</v>
      </c>
      <c r="D540" s="34" t="n">
        <f aca="false">D539*(1+Inputs!$B$13)</f>
        <v>482955.830371</v>
      </c>
      <c r="E540" s="34" t="n">
        <f aca="false">E539*(1+Inputs!$B$13)</f>
        <v>482955.830371</v>
      </c>
      <c r="F540" s="34" t="n">
        <f aca="false">F539*(1+Inputs!$B$13)</f>
        <v>482955.830371</v>
      </c>
      <c r="G540" s="34" t="n">
        <f aca="false">G539*(1+Inputs!$B$13)</f>
        <v>482955.830371</v>
      </c>
      <c r="H540" s="34" t="n">
        <f aca="false">H539*(1+Inputs!$B$13)</f>
        <v>482955.830371</v>
      </c>
    </row>
    <row r="541" customFormat="false" ht="15" hidden="true" customHeight="true" outlineLevel="0" collapsed="false">
      <c r="B541" s="34" t="n">
        <f aca="false">B540*(1+Inputs!$B$13)</f>
        <v>497444.50528213</v>
      </c>
      <c r="C541" s="34" t="n">
        <f aca="false">C540*(1+Inputs!$B$13)</f>
        <v>497444.50528213</v>
      </c>
      <c r="D541" s="34" t="n">
        <f aca="false">D540*(1+Inputs!$B$13)</f>
        <v>497444.50528213</v>
      </c>
      <c r="E541" s="34" t="n">
        <f aca="false">E540*(1+Inputs!$B$13)</f>
        <v>497444.50528213</v>
      </c>
      <c r="F541" s="34" t="n">
        <f aca="false">F540*(1+Inputs!$B$13)</f>
        <v>497444.50528213</v>
      </c>
      <c r="G541" s="34" t="n">
        <f aca="false">G540*(1+Inputs!$B$13)</f>
        <v>497444.50528213</v>
      </c>
      <c r="H541" s="34" t="n">
        <f aca="false">H540*(1+Inputs!$B$13)</f>
        <v>497444.50528213</v>
      </c>
    </row>
    <row r="542" customFormat="false" ht="15" hidden="true" customHeight="true" outlineLevel="0" collapsed="false">
      <c r="B542" s="34" t="n">
        <f aca="false">B541*(1+Inputs!$B$13)</f>
        <v>512367.840440594</v>
      </c>
      <c r="C542" s="34" t="n">
        <f aca="false">C541*(1+Inputs!$B$13)</f>
        <v>512367.840440594</v>
      </c>
      <c r="D542" s="34" t="n">
        <f aca="false">D541*(1+Inputs!$B$13)</f>
        <v>512367.840440594</v>
      </c>
      <c r="E542" s="34" t="n">
        <f aca="false">E541*(1+Inputs!$B$13)</f>
        <v>512367.840440594</v>
      </c>
      <c r="F542" s="34" t="n">
        <f aca="false">F541*(1+Inputs!$B$13)</f>
        <v>512367.840440594</v>
      </c>
      <c r="G542" s="34" t="n">
        <f aca="false">G541*(1+Inputs!$B$13)</f>
        <v>512367.840440594</v>
      </c>
      <c r="H542" s="34" t="n">
        <f aca="false">H541*(1+Inputs!$B$13)</f>
        <v>512367.840440594</v>
      </c>
    </row>
    <row r="543" customFormat="false" ht="15" hidden="true" customHeight="true" outlineLevel="0" collapsed="false">
      <c r="B543" s="34" t="n">
        <f aca="false">B542*(1+Inputs!$B$13)</f>
        <v>527738.875653812</v>
      </c>
      <c r="C543" s="34" t="n">
        <f aca="false">C542*(1+Inputs!$B$13)</f>
        <v>527738.875653812</v>
      </c>
      <c r="D543" s="34" t="n">
        <f aca="false">D542*(1+Inputs!$B$13)</f>
        <v>527738.875653812</v>
      </c>
      <c r="E543" s="34" t="n">
        <f aca="false">E542*(1+Inputs!$B$13)</f>
        <v>527738.875653812</v>
      </c>
      <c r="F543" s="34" t="n">
        <f aca="false">F542*(1+Inputs!$B$13)</f>
        <v>527738.875653812</v>
      </c>
      <c r="G543" s="34" t="n">
        <f aca="false">G542*(1+Inputs!$B$13)</f>
        <v>527738.875653812</v>
      </c>
      <c r="H543" s="34" t="n">
        <f aca="false">H542*(1+Inputs!$B$13)</f>
        <v>527738.875653812</v>
      </c>
    </row>
    <row r="544" customFormat="false" ht="15" hidden="true" customHeight="true" outlineLevel="0" collapsed="false">
      <c r="B544" s="34" t="n">
        <f aca="false">B543*(1+Inputs!$B$13)</f>
        <v>543571.041923426</v>
      </c>
      <c r="C544" s="34" t="n">
        <f aca="false">C543*(1+Inputs!$B$13)</f>
        <v>543571.041923426</v>
      </c>
      <c r="D544" s="34" t="n">
        <f aca="false">D543*(1+Inputs!$B$13)</f>
        <v>543571.041923426</v>
      </c>
      <c r="E544" s="34" t="n">
        <f aca="false">E543*(1+Inputs!$B$13)</f>
        <v>543571.041923426</v>
      </c>
      <c r="F544" s="34" t="n">
        <f aca="false">F543*(1+Inputs!$B$13)</f>
        <v>543571.041923426</v>
      </c>
      <c r="G544" s="34" t="n">
        <f aca="false">G543*(1+Inputs!$B$13)</f>
        <v>543571.041923426</v>
      </c>
      <c r="H544" s="34" t="n">
        <f aca="false">H543*(1+Inputs!$B$13)</f>
        <v>543571.041923426</v>
      </c>
    </row>
    <row r="545" customFormat="false" ht="15" hidden="true" customHeight="true" outlineLevel="0" collapsed="false">
      <c r="B545" s="34" t="n">
        <f aca="false">B544*(1+Inputs!$B$13)</f>
        <v>559878.173181129</v>
      </c>
      <c r="C545" s="34" t="n">
        <f aca="false">C544*(1+Inputs!$B$13)</f>
        <v>559878.173181129</v>
      </c>
      <c r="D545" s="34" t="n">
        <f aca="false">D544*(1+Inputs!$B$13)</f>
        <v>559878.173181129</v>
      </c>
      <c r="E545" s="34" t="n">
        <f aca="false">E544*(1+Inputs!$B$13)</f>
        <v>559878.173181129</v>
      </c>
      <c r="F545" s="34" t="n">
        <f aca="false">F544*(1+Inputs!$B$13)</f>
        <v>559878.173181129</v>
      </c>
      <c r="G545" s="34" t="n">
        <f aca="false">G544*(1+Inputs!$B$13)</f>
        <v>559878.173181129</v>
      </c>
      <c r="H545" s="34" t="n">
        <f aca="false">H544*(1+Inputs!$B$13)</f>
        <v>559878.173181129</v>
      </c>
    </row>
    <row r="546" customFormat="false" ht="15" hidden="true" customHeight="true" outlineLevel="0" collapsed="false">
      <c r="B546" s="34" t="n">
        <f aca="false">B545*(1+Inputs!$B$13)</f>
        <v>576674.518376563</v>
      </c>
      <c r="C546" s="34" t="n">
        <f aca="false">C545*(1+Inputs!$B$13)</f>
        <v>576674.518376563</v>
      </c>
      <c r="D546" s="34" t="n">
        <f aca="false">D545*(1+Inputs!$B$13)</f>
        <v>576674.518376563</v>
      </c>
      <c r="E546" s="34" t="n">
        <f aca="false">E545*(1+Inputs!$B$13)</f>
        <v>576674.518376563</v>
      </c>
      <c r="F546" s="34" t="n">
        <f aca="false">F545*(1+Inputs!$B$13)</f>
        <v>576674.518376563</v>
      </c>
      <c r="G546" s="34" t="n">
        <f aca="false">G545*(1+Inputs!$B$13)</f>
        <v>576674.518376563</v>
      </c>
      <c r="H546" s="34" t="n">
        <f aca="false">H545*(1+Inputs!$B$13)</f>
        <v>576674.518376563</v>
      </c>
    </row>
    <row r="547" customFormat="false" ht="15" hidden="true" customHeight="true" outlineLevel="0" collapsed="false">
      <c r="B547" s="34" t="n">
        <f aca="false">B546*(1+Inputs!$B$13)</f>
        <v>593974.75392786</v>
      </c>
      <c r="C547" s="34" t="n">
        <f aca="false">C546*(1+Inputs!$B$13)</f>
        <v>593974.75392786</v>
      </c>
      <c r="D547" s="34" t="n">
        <f aca="false">D546*(1+Inputs!$B$13)</f>
        <v>593974.75392786</v>
      </c>
      <c r="E547" s="34" t="n">
        <f aca="false">E546*(1+Inputs!$B$13)</f>
        <v>593974.75392786</v>
      </c>
      <c r="F547" s="34" t="n">
        <f aca="false">F546*(1+Inputs!$B$13)</f>
        <v>593974.75392786</v>
      </c>
      <c r="G547" s="34" t="n">
        <f aca="false">G546*(1+Inputs!$B$13)</f>
        <v>593974.75392786</v>
      </c>
      <c r="H547" s="34" t="n">
        <f aca="false">H546*(1+Inputs!$B$13)</f>
        <v>593974.75392786</v>
      </c>
    </row>
    <row r="548" customFormat="false" ht="15" hidden="true" customHeight="true" outlineLevel="0" collapsed="false">
      <c r="B548" s="34" t="n">
        <f aca="false">B547*(1+Inputs!$B$13)</f>
        <v>611793.996545696</v>
      </c>
      <c r="C548" s="34" t="n">
        <f aca="false">C547*(1+Inputs!$B$13)</f>
        <v>611793.996545696</v>
      </c>
      <c r="D548" s="34" t="n">
        <f aca="false">D547*(1+Inputs!$B$13)</f>
        <v>611793.996545696</v>
      </c>
      <c r="E548" s="34" t="n">
        <f aca="false">E547*(1+Inputs!$B$13)</f>
        <v>611793.996545696</v>
      </c>
      <c r="F548" s="34" t="n">
        <f aca="false">F547*(1+Inputs!$B$13)</f>
        <v>611793.996545696</v>
      </c>
      <c r="G548" s="34" t="n">
        <f aca="false">G547*(1+Inputs!$B$13)</f>
        <v>611793.996545696</v>
      </c>
      <c r="H548" s="34" t="n">
        <f aca="false">H547*(1+Inputs!$B$13)</f>
        <v>611793.996545696</v>
      </c>
    </row>
    <row r="549" customFormat="false" ht="15" hidden="true" customHeight="true" outlineLevel="0" collapsed="false">
      <c r="B549" s="34" t="n">
        <f aca="false">B548*(1+Inputs!$B$13)</f>
        <v>630147.816442066</v>
      </c>
      <c r="C549" s="34" t="n">
        <f aca="false">C548*(1+Inputs!$B$13)</f>
        <v>630147.816442066</v>
      </c>
      <c r="D549" s="34" t="n">
        <f aca="false">D548*(1+Inputs!$B$13)</f>
        <v>630147.816442066</v>
      </c>
      <c r="E549" s="34" t="n">
        <f aca="false">E548*(1+Inputs!$B$13)</f>
        <v>630147.816442066</v>
      </c>
      <c r="F549" s="34" t="n">
        <f aca="false">F548*(1+Inputs!$B$13)</f>
        <v>630147.816442066</v>
      </c>
      <c r="G549" s="34" t="n">
        <f aca="false">G548*(1+Inputs!$B$13)</f>
        <v>630147.816442066</v>
      </c>
      <c r="H549" s="34" t="n">
        <f aca="false">H548*(1+Inputs!$B$13)</f>
        <v>630147.816442066</v>
      </c>
    </row>
    <row r="550" customFormat="false" ht="15" hidden="true" customHeight="true" outlineLevel="0" collapsed="false">
      <c r="B550" s="34" t="n">
        <f aca="false">B549*(1+Inputs!$B$13)</f>
        <v>649052.250935328</v>
      </c>
      <c r="C550" s="34" t="n">
        <f aca="false">C549*(1+Inputs!$B$13)</f>
        <v>649052.250935328</v>
      </c>
      <c r="D550" s="34" t="n">
        <f aca="false">D549*(1+Inputs!$B$13)</f>
        <v>649052.250935328</v>
      </c>
      <c r="E550" s="34" t="n">
        <f aca="false">E549*(1+Inputs!$B$13)</f>
        <v>649052.250935328</v>
      </c>
      <c r="F550" s="34" t="n">
        <f aca="false">F549*(1+Inputs!$B$13)</f>
        <v>649052.250935328</v>
      </c>
      <c r="G550" s="34" t="n">
        <f aca="false">G549*(1+Inputs!$B$13)</f>
        <v>649052.250935328</v>
      </c>
      <c r="H550" s="34" t="n">
        <f aca="false">H549*(1+Inputs!$B$13)</f>
        <v>649052.250935328</v>
      </c>
    </row>
    <row r="551" customFormat="false" ht="15" hidden="true" customHeight="true" outlineLevel="0" collapsed="false">
      <c r="B551" s="34" t="n">
        <f aca="false">B550*(1+Inputs!$B$13)</f>
        <v>668523.818463388</v>
      </c>
      <c r="C551" s="34" t="n">
        <f aca="false">C550*(1+Inputs!$B$13)</f>
        <v>668523.818463388</v>
      </c>
      <c r="D551" s="34" t="n">
        <f aca="false">D550*(1+Inputs!$B$13)</f>
        <v>668523.818463388</v>
      </c>
      <c r="E551" s="34" t="n">
        <f aca="false">E550*(1+Inputs!$B$13)</f>
        <v>668523.818463388</v>
      </c>
      <c r="F551" s="34" t="n">
        <f aca="false">F550*(1+Inputs!$B$13)</f>
        <v>668523.818463388</v>
      </c>
      <c r="G551" s="34" t="n">
        <f aca="false">G550*(1+Inputs!$B$13)</f>
        <v>668523.818463388</v>
      </c>
      <c r="H551" s="34" t="n">
        <f aca="false">H550*(1+Inputs!$B$13)</f>
        <v>668523.818463388</v>
      </c>
    </row>
    <row r="552" customFormat="false" ht="15" hidden="true" customHeight="true" outlineLevel="0" collapsed="false">
      <c r="B552" s="34" t="n">
        <f aca="false">B551*(1+Inputs!$B$13)</f>
        <v>688579.53301729</v>
      </c>
      <c r="C552" s="34" t="n">
        <f aca="false">C551*(1+Inputs!$B$13)</f>
        <v>688579.53301729</v>
      </c>
      <c r="D552" s="34" t="n">
        <f aca="false">D551*(1+Inputs!$B$13)</f>
        <v>688579.53301729</v>
      </c>
      <c r="E552" s="34" t="n">
        <f aca="false">E551*(1+Inputs!$B$13)</f>
        <v>688579.53301729</v>
      </c>
      <c r="F552" s="34" t="n">
        <f aca="false">F551*(1+Inputs!$B$13)</f>
        <v>688579.53301729</v>
      </c>
      <c r="G552" s="34" t="n">
        <f aca="false">G551*(1+Inputs!$B$13)</f>
        <v>688579.53301729</v>
      </c>
      <c r="H552" s="34" t="n">
        <f aca="false">H551*(1+Inputs!$B$13)</f>
        <v>688579.53301729</v>
      </c>
    </row>
    <row r="553" customFormat="false" ht="15" hidden="true" customHeight="true" outlineLevel="0" collapsed="false">
      <c r="B553" s="34" t="n">
        <f aca="false">B552*(1+Inputs!$B$13)</f>
        <v>709236.919007809</v>
      </c>
      <c r="C553" s="34" t="n">
        <f aca="false">C552*(1+Inputs!$B$13)</f>
        <v>709236.919007809</v>
      </c>
      <c r="D553" s="34" t="n">
        <f aca="false">D552*(1+Inputs!$B$13)</f>
        <v>709236.919007809</v>
      </c>
      <c r="E553" s="34" t="n">
        <f aca="false">E552*(1+Inputs!$B$13)</f>
        <v>709236.919007809</v>
      </c>
      <c r="F553" s="34" t="n">
        <f aca="false">F552*(1+Inputs!$B$13)</f>
        <v>709236.919007809</v>
      </c>
      <c r="G553" s="34" t="n">
        <f aca="false">G552*(1+Inputs!$B$13)</f>
        <v>709236.919007809</v>
      </c>
      <c r="H553" s="34" t="n">
        <f aca="false">H552*(1+Inputs!$B$13)</f>
        <v>709236.919007809</v>
      </c>
    </row>
    <row r="554" customFormat="false" ht="15" hidden="true" customHeight="true" outlineLevel="0" collapsed="false">
      <c r="B554" s="34" t="n">
        <f aca="false">B553*(1+Inputs!$B$13)</f>
        <v>730514.026578043</v>
      </c>
      <c r="C554" s="34" t="n">
        <f aca="false">C553*(1+Inputs!$B$13)</f>
        <v>730514.026578043</v>
      </c>
      <c r="D554" s="34" t="n">
        <f aca="false">D553*(1+Inputs!$B$13)</f>
        <v>730514.026578043</v>
      </c>
      <c r="E554" s="34" t="n">
        <f aca="false">E553*(1+Inputs!$B$13)</f>
        <v>730514.026578043</v>
      </c>
      <c r="F554" s="34" t="n">
        <f aca="false">F553*(1+Inputs!$B$13)</f>
        <v>730514.026578043</v>
      </c>
      <c r="G554" s="34" t="n">
        <f aca="false">G553*(1+Inputs!$B$13)</f>
        <v>730514.026578043</v>
      </c>
      <c r="H554" s="34" t="n">
        <f aca="false">H553*(1+Inputs!$B$13)</f>
        <v>730514.026578043</v>
      </c>
    </row>
    <row r="555" customFormat="false" ht="15" hidden="true" customHeight="true" outlineLevel="0" collapsed="false">
      <c r="B555" s="34" t="n">
        <f aca="false">B554*(1+Inputs!$B$13)</f>
        <v>752429.447375384</v>
      </c>
      <c r="C555" s="34" t="n">
        <f aca="false">C554*(1+Inputs!$B$13)</f>
        <v>752429.447375384</v>
      </c>
      <c r="D555" s="34" t="n">
        <f aca="false">D554*(1+Inputs!$B$13)</f>
        <v>752429.447375384</v>
      </c>
      <c r="E555" s="34" t="n">
        <f aca="false">E554*(1+Inputs!$B$13)</f>
        <v>752429.447375384</v>
      </c>
      <c r="F555" s="34" t="n">
        <f aca="false">F554*(1+Inputs!$B$13)</f>
        <v>752429.447375384</v>
      </c>
      <c r="G555" s="34" t="n">
        <f aca="false">G554*(1+Inputs!$B$13)</f>
        <v>752429.447375384</v>
      </c>
      <c r="H555" s="34" t="n">
        <f aca="false">H554*(1+Inputs!$B$13)</f>
        <v>752429.447375384</v>
      </c>
    </row>
    <row r="556" customFormat="false" ht="15" hidden="true" customHeight="true" outlineLevel="0" collapsed="false">
      <c r="B556" s="34" t="n">
        <f aca="false">B555*(1+Inputs!$B$13)</f>
        <v>775002.330796646</v>
      </c>
      <c r="C556" s="34" t="n">
        <f aca="false">C555*(1+Inputs!$B$13)</f>
        <v>775002.330796646</v>
      </c>
      <c r="D556" s="34" t="n">
        <f aca="false">D555*(1+Inputs!$B$13)</f>
        <v>775002.330796646</v>
      </c>
      <c r="E556" s="34" t="n">
        <f aca="false">E555*(1+Inputs!$B$13)</f>
        <v>775002.330796646</v>
      </c>
      <c r="F556" s="34" t="n">
        <f aca="false">F555*(1+Inputs!$B$13)</f>
        <v>775002.330796646</v>
      </c>
      <c r="G556" s="34" t="n">
        <f aca="false">G555*(1+Inputs!$B$13)</f>
        <v>775002.330796646</v>
      </c>
      <c r="H556" s="34" t="n">
        <f aca="false">H555*(1+Inputs!$B$13)</f>
        <v>775002.330796646</v>
      </c>
    </row>
    <row r="557" customFormat="false" ht="15" hidden="true" customHeight="true" outlineLevel="0" collapsed="false">
      <c r="B557" s="34" t="n">
        <f aca="false">B556*(1+Inputs!$B$13)</f>
        <v>798252.400720545</v>
      </c>
      <c r="C557" s="34" t="n">
        <f aca="false">C556*(1+Inputs!$B$13)</f>
        <v>798252.400720545</v>
      </c>
      <c r="D557" s="34" t="n">
        <f aca="false">D556*(1+Inputs!$B$13)</f>
        <v>798252.400720545</v>
      </c>
      <c r="E557" s="34" t="n">
        <f aca="false">E556*(1+Inputs!$B$13)</f>
        <v>798252.400720545</v>
      </c>
      <c r="F557" s="34" t="n">
        <f aca="false">F556*(1+Inputs!$B$13)</f>
        <v>798252.400720545</v>
      </c>
      <c r="G557" s="34" t="n">
        <f aca="false">G556*(1+Inputs!$B$13)</f>
        <v>798252.400720545</v>
      </c>
      <c r="H557" s="34" t="n">
        <f aca="false">H556*(1+Inputs!$B$13)</f>
        <v>798252.400720545</v>
      </c>
    </row>
    <row r="558" customFormat="false" ht="15" hidden="true" customHeight="true" outlineLevel="0" collapsed="false">
      <c r="B558" s="34" t="n">
        <f aca="false">B557*(1+Inputs!$B$13)</f>
        <v>822199.972742161</v>
      </c>
      <c r="C558" s="34" t="n">
        <f aca="false">C557*(1+Inputs!$B$13)</f>
        <v>822199.972742161</v>
      </c>
      <c r="D558" s="34" t="n">
        <f aca="false">D557*(1+Inputs!$B$13)</f>
        <v>822199.972742161</v>
      </c>
      <c r="E558" s="34" t="n">
        <f aca="false">E557*(1+Inputs!$B$13)</f>
        <v>822199.972742161</v>
      </c>
      <c r="F558" s="34" t="n">
        <f aca="false">F557*(1+Inputs!$B$13)</f>
        <v>822199.972742161</v>
      </c>
      <c r="G558" s="34" t="n">
        <f aca="false">G557*(1+Inputs!$B$13)</f>
        <v>822199.972742161</v>
      </c>
      <c r="H558" s="34" t="n">
        <f aca="false">H557*(1+Inputs!$B$13)</f>
        <v>822199.972742161</v>
      </c>
    </row>
    <row r="559" customFormat="false" ht="15" hidden="true" customHeight="true" outlineLevel="0" collapsed="false">
      <c r="B559" s="34" t="n">
        <f aca="false">B558*(1+Inputs!$B$13)</f>
        <v>846865.971924426</v>
      </c>
      <c r="C559" s="34" t="n">
        <f aca="false">C558*(1+Inputs!$B$13)</f>
        <v>846865.971924426</v>
      </c>
      <c r="D559" s="34" t="n">
        <f aca="false">D558*(1+Inputs!$B$13)</f>
        <v>846865.971924426</v>
      </c>
      <c r="E559" s="34" t="n">
        <f aca="false">E558*(1+Inputs!$B$13)</f>
        <v>846865.971924426</v>
      </c>
      <c r="F559" s="34" t="n">
        <f aca="false">F558*(1+Inputs!$B$13)</f>
        <v>846865.971924426</v>
      </c>
      <c r="G559" s="34" t="n">
        <f aca="false">G558*(1+Inputs!$B$13)</f>
        <v>846865.971924426</v>
      </c>
      <c r="H559" s="34" t="n">
        <f aca="false">H558*(1+Inputs!$B$13)</f>
        <v>846865.971924426</v>
      </c>
    </row>
    <row r="560" customFormat="false" ht="15" hidden="true" customHeight="true" outlineLevel="0" collapsed="false">
      <c r="B560" s="34" t="n">
        <f aca="false">B559*(1+Inputs!$B$13)</f>
        <v>872271.951082159</v>
      </c>
      <c r="C560" s="34" t="n">
        <f aca="false">C559*(1+Inputs!$B$13)</f>
        <v>872271.951082159</v>
      </c>
      <c r="D560" s="34" t="n">
        <f aca="false">D559*(1+Inputs!$B$13)</f>
        <v>872271.951082159</v>
      </c>
      <c r="E560" s="34" t="n">
        <f aca="false">E559*(1+Inputs!$B$13)</f>
        <v>872271.951082159</v>
      </c>
      <c r="F560" s="34" t="n">
        <f aca="false">F559*(1+Inputs!$B$13)</f>
        <v>872271.951082159</v>
      </c>
      <c r="G560" s="34" t="n">
        <f aca="false">G559*(1+Inputs!$B$13)</f>
        <v>872271.951082159</v>
      </c>
      <c r="H560" s="34" t="n">
        <f aca="false">H559*(1+Inputs!$B$13)</f>
        <v>872271.951082159</v>
      </c>
    </row>
    <row r="561" customFormat="false" ht="15" hidden="true" customHeight="true" outlineLevel="0" collapsed="false">
      <c r="B561" s="34" t="n">
        <f aca="false">B560*(1+Inputs!$B$13)</f>
        <v>898440.109614624</v>
      </c>
      <c r="C561" s="34" t="n">
        <f aca="false">C560*(1+Inputs!$B$13)</f>
        <v>898440.109614624</v>
      </c>
      <c r="D561" s="34" t="n">
        <f aca="false">D560*(1+Inputs!$B$13)</f>
        <v>898440.109614624</v>
      </c>
      <c r="E561" s="34" t="n">
        <f aca="false">E560*(1+Inputs!$B$13)</f>
        <v>898440.109614624</v>
      </c>
      <c r="F561" s="34" t="n">
        <f aca="false">F560*(1+Inputs!$B$13)</f>
        <v>898440.109614624</v>
      </c>
      <c r="G561" s="34" t="n">
        <f aca="false">G560*(1+Inputs!$B$13)</f>
        <v>898440.109614624</v>
      </c>
      <c r="H561" s="34" t="n">
        <f aca="false">H560*(1+Inputs!$B$13)</f>
        <v>898440.109614624</v>
      </c>
    </row>
    <row r="562" customFormat="false" ht="15" hidden="true" customHeight="true" outlineLevel="0" collapsed="false">
      <c r="B562" s="34" t="n">
        <f aca="false">B561*(1+Inputs!$B$13)</f>
        <v>925393.312903063</v>
      </c>
      <c r="C562" s="34" t="n">
        <f aca="false">C561*(1+Inputs!$B$13)</f>
        <v>925393.312903063</v>
      </c>
      <c r="D562" s="34" t="n">
        <f aca="false">D561*(1+Inputs!$B$13)</f>
        <v>925393.312903063</v>
      </c>
      <c r="E562" s="34" t="n">
        <f aca="false">E561*(1+Inputs!$B$13)</f>
        <v>925393.312903063</v>
      </c>
      <c r="F562" s="34" t="n">
        <f aca="false">F561*(1+Inputs!$B$13)</f>
        <v>925393.312903063</v>
      </c>
      <c r="G562" s="34" t="n">
        <f aca="false">G561*(1+Inputs!$B$13)</f>
        <v>925393.312903063</v>
      </c>
      <c r="H562" s="34" t="n">
        <f aca="false">H561*(1+Inputs!$B$13)</f>
        <v>925393.312903063</v>
      </c>
    </row>
    <row r="563" customFormat="false" ht="15" hidden="true" customHeight="true" outlineLevel="0" collapsed="false">
      <c r="B563" s="34" t="n">
        <f aca="false">B562*(1+Inputs!$B$13)</f>
        <v>953155.112290154</v>
      </c>
      <c r="C563" s="34" t="n">
        <f aca="false">C562*(1+Inputs!$B$13)</f>
        <v>953155.112290154</v>
      </c>
      <c r="D563" s="34" t="n">
        <f aca="false">D562*(1+Inputs!$B$13)</f>
        <v>953155.112290154</v>
      </c>
      <c r="E563" s="34" t="n">
        <f aca="false">E562*(1+Inputs!$B$13)</f>
        <v>953155.112290154</v>
      </c>
      <c r="F563" s="34" t="n">
        <f aca="false">F562*(1+Inputs!$B$13)</f>
        <v>953155.112290154</v>
      </c>
      <c r="G563" s="34" t="n">
        <f aca="false">G562*(1+Inputs!$B$13)</f>
        <v>953155.112290154</v>
      </c>
      <c r="H563" s="34" t="n">
        <f aca="false">H562*(1+Inputs!$B$13)</f>
        <v>953155.112290154</v>
      </c>
    </row>
    <row r="564" customFormat="false" ht="15" hidden="true" customHeight="true" outlineLevel="0" collapsed="false">
      <c r="B564" s="34" t="n">
        <f aca="false">B563*(1+Inputs!$B$13)</f>
        <v>981749.765658859</v>
      </c>
      <c r="C564" s="34" t="n">
        <f aca="false">C563*(1+Inputs!$B$13)</f>
        <v>981749.765658859</v>
      </c>
      <c r="D564" s="34" t="n">
        <f aca="false">D563*(1+Inputs!$B$13)</f>
        <v>981749.765658859</v>
      </c>
      <c r="E564" s="34" t="n">
        <f aca="false">E563*(1+Inputs!$B$13)</f>
        <v>981749.765658859</v>
      </c>
      <c r="F564" s="34" t="n">
        <f aca="false">F563*(1+Inputs!$B$13)</f>
        <v>981749.765658859</v>
      </c>
      <c r="G564" s="34" t="n">
        <f aca="false">G563*(1+Inputs!$B$13)</f>
        <v>981749.765658859</v>
      </c>
      <c r="H564" s="34" t="n">
        <f aca="false">H563*(1+Inputs!$B$13)</f>
        <v>981749.765658859</v>
      </c>
    </row>
    <row r="565" customFormat="false" ht="15" hidden="true" customHeight="true" outlineLevel="0" collapsed="false">
      <c r="B565" s="34" t="n">
        <f aca="false">B564*(1+Inputs!$B$13)</f>
        <v>1011202.25862862</v>
      </c>
      <c r="C565" s="34" t="n">
        <f aca="false">C564*(1+Inputs!$B$13)</f>
        <v>1011202.25862862</v>
      </c>
      <c r="D565" s="34" t="n">
        <f aca="false">D564*(1+Inputs!$B$13)</f>
        <v>1011202.25862862</v>
      </c>
      <c r="E565" s="34" t="n">
        <f aca="false">E564*(1+Inputs!$B$13)</f>
        <v>1011202.25862862</v>
      </c>
      <c r="F565" s="34" t="n">
        <f aca="false">F564*(1+Inputs!$B$13)</f>
        <v>1011202.25862862</v>
      </c>
      <c r="G565" s="34" t="n">
        <f aca="false">G564*(1+Inputs!$B$13)</f>
        <v>1011202.25862862</v>
      </c>
      <c r="H565" s="34" t="n">
        <f aca="false">H564*(1+Inputs!$B$13)</f>
        <v>1011202.25862862</v>
      </c>
    </row>
    <row r="566" customFormat="false" ht="15" hidden="true" customHeight="true" outlineLevel="0" collapsed="false">
      <c r="B566" s="34" t="n">
        <f aca="false">B565*(1+Inputs!$B$13)</f>
        <v>1041538.32638748</v>
      </c>
      <c r="C566" s="34" t="n">
        <f aca="false">C565*(1+Inputs!$B$13)</f>
        <v>1041538.32638748</v>
      </c>
      <c r="D566" s="34" t="n">
        <f aca="false">D565*(1+Inputs!$B$13)</f>
        <v>1041538.32638748</v>
      </c>
      <c r="E566" s="34" t="n">
        <f aca="false">E565*(1+Inputs!$B$13)</f>
        <v>1041538.32638748</v>
      </c>
      <c r="F566" s="34" t="n">
        <f aca="false">F565*(1+Inputs!$B$13)</f>
        <v>1041538.32638748</v>
      </c>
      <c r="G566" s="34" t="n">
        <f aca="false">G565*(1+Inputs!$B$13)</f>
        <v>1041538.32638748</v>
      </c>
      <c r="H566" s="34" t="n">
        <f aca="false">H565*(1+Inputs!$B$13)</f>
        <v>1041538.32638748</v>
      </c>
    </row>
    <row r="567" customFormat="false" ht="15" hidden="true" customHeight="true" outlineLevel="0" collapsed="false"/>
    <row r="568" customFormat="false" ht="15" hidden="true" customHeight="true" outlineLevel="0" collapsed="false">
      <c r="A568" s="33" t="s">
        <v>92</v>
      </c>
      <c r="B568" s="34" t="n">
        <f aca="false">(Inputs!$B$4*(1-Inputs!$B$5))</f>
        <v>343280</v>
      </c>
      <c r="C568" s="34" t="n">
        <f aca="false">(Inputs!$B$4*(1-Inputs!$B$5))</f>
        <v>343280</v>
      </c>
      <c r="D568" s="34" t="n">
        <f aca="false">(Inputs!$B$4*(1-Inputs!$B$5))</f>
        <v>343280</v>
      </c>
      <c r="E568" s="34" t="n">
        <f aca="false">(Inputs!$B$4*(1-Inputs!$B$5))</f>
        <v>343280</v>
      </c>
      <c r="F568" s="34" t="n">
        <f aca="false">(Inputs!$B$4*(1-Inputs!$B$5))</f>
        <v>343280</v>
      </c>
      <c r="G568" s="34" t="n">
        <f aca="false">(Inputs!$B$4*(1-Inputs!$B$5))</f>
        <v>343280</v>
      </c>
      <c r="H568" s="34" t="n">
        <f aca="false">(Inputs!$B$4*(1-Inputs!$B$5))</f>
        <v>343280</v>
      </c>
    </row>
    <row r="569" customFormat="false" ht="15" hidden="true" customHeight="true" outlineLevel="0" collapsed="false">
      <c r="B569" s="34" t="n">
        <f aca="false">IF(1&gt;=Inputs!$B$7,0,ROUND(-FV(Inputs!$B$6/12,1*12,-(-PMT(Inputs!$B$6/12,Inputs!$B$7*12,(Inputs!$B$4*(1-Inputs!$B$5)))*12)/12,(Inputs!$B$4*(1-Inputs!$B$5))),2))</f>
        <v>339976.85</v>
      </c>
      <c r="C569" s="34" t="n">
        <f aca="false">IF(1&gt;=Inputs!$B$7,0,ROUND(-FV(Inputs!$B$6/12,1*12,-(-PMT(Inputs!$B$6/12,Inputs!$B$7*12,(Inputs!$B$4*(1-Inputs!$B$5)))*12)/12,(Inputs!$B$4*(1-Inputs!$B$5))),2))</f>
        <v>339976.85</v>
      </c>
      <c r="D569" s="34" t="n">
        <f aca="false">IF(1&gt;=Inputs!$B$7,0,ROUND(-FV(Inputs!$B$6/12,1*12,-(-PMT(Inputs!$B$6/12,Inputs!$B$7*12,(Inputs!$B$4*(1-Inputs!$B$5)))*12)/12,(Inputs!$B$4*(1-Inputs!$B$5))),2))</f>
        <v>339976.85</v>
      </c>
      <c r="E569" s="34" t="n">
        <f aca="false">IF(1&gt;=Inputs!$B$7,0,ROUND(-FV(Inputs!$B$6/12,1*12,-(-PMT(Inputs!$B$6/12,Inputs!$B$7*12,(Inputs!$B$4*(1-Inputs!$B$5)))*12)/12,(Inputs!$B$4*(1-Inputs!$B$5))),2))</f>
        <v>339976.85</v>
      </c>
      <c r="F569" s="34" t="n">
        <f aca="false">IF(1&gt;=Inputs!$B$7,0,ROUND(-FV(Inputs!$B$6/12,1*12,-(-PMT(Inputs!$B$6/12,Inputs!$B$7*12,(Inputs!$B$4*(1-Inputs!$B$5)))*12)/12,(Inputs!$B$4*(1-Inputs!$B$5))),2))</f>
        <v>339976.85</v>
      </c>
      <c r="G569" s="34" t="n">
        <f aca="false">IF(1&gt;=Inputs!$B$7,0,ROUND(-FV(Inputs!$B$6/12,1*12,-(-PMT(Inputs!$B$6/12,Inputs!$B$7*12,(Inputs!$B$4*(1-Inputs!$B$5)))*12)/12,(Inputs!$B$4*(1-Inputs!$B$5))),2))</f>
        <v>339976.85</v>
      </c>
      <c r="H569" s="34" t="n">
        <f aca="false">IF(1&gt;=Inputs!$B$7,0,ROUND(-FV(Inputs!$B$6/12,1*12,-(-PMT(Inputs!$B$6/12,Inputs!$B$7*12,(Inputs!$B$4*(1-Inputs!$B$5)))*12)/12,(Inputs!$B$4*(1-Inputs!$B$5))),2))</f>
        <v>339976.85</v>
      </c>
    </row>
    <row r="570" customFormat="false" ht="15" hidden="true" customHeight="true" outlineLevel="0" collapsed="false">
      <c r="B570" s="34" t="n">
        <f aca="false">IF(2&gt;=Inputs!$B$7,0,ROUND(-FV(Inputs!$B$6/12,2*12,-(-PMT(Inputs!$B$6/12,Inputs!$B$7*12,(Inputs!$B$4*(1-Inputs!$B$5)))*12)/12,(Inputs!$B$4*(1-Inputs!$B$5))),2))</f>
        <v>336425.03</v>
      </c>
      <c r="C570" s="34" t="n">
        <f aca="false">IF(2&gt;=Inputs!$B$7,0,ROUND(-FV(Inputs!$B$6/12,2*12,-(-PMT(Inputs!$B$6/12,Inputs!$B$7*12,(Inputs!$B$4*(1-Inputs!$B$5)))*12)/12,(Inputs!$B$4*(1-Inputs!$B$5))),2))</f>
        <v>336425.03</v>
      </c>
      <c r="D570" s="34" t="n">
        <f aca="false">IF(2&gt;=Inputs!$B$7,0,ROUND(-FV(Inputs!$B$6/12,2*12,-(-PMT(Inputs!$B$6/12,Inputs!$B$7*12,(Inputs!$B$4*(1-Inputs!$B$5)))*12)/12,(Inputs!$B$4*(1-Inputs!$B$5))),2))</f>
        <v>336425.03</v>
      </c>
      <c r="E570" s="34" t="n">
        <f aca="false">IF(2&gt;=Inputs!$B$7,0,ROUND(-FV(Inputs!$B$6/12,2*12,-(-PMT(Inputs!$B$6/12,Inputs!$B$7*12,(Inputs!$B$4*(1-Inputs!$B$5)))*12)/12,(Inputs!$B$4*(1-Inputs!$B$5))),2))</f>
        <v>336425.03</v>
      </c>
      <c r="F570" s="34" t="n">
        <f aca="false">IF(2&gt;=Inputs!$B$7,0,ROUND(-FV(Inputs!$B$6/12,2*12,-(-PMT(Inputs!$B$6/12,Inputs!$B$7*12,(Inputs!$B$4*(1-Inputs!$B$5)))*12)/12,(Inputs!$B$4*(1-Inputs!$B$5))),2))</f>
        <v>336425.03</v>
      </c>
      <c r="G570" s="34" t="n">
        <f aca="false">IF(2&gt;=Inputs!$B$7,0,ROUND(-FV(Inputs!$B$6/12,2*12,-(-PMT(Inputs!$B$6/12,Inputs!$B$7*12,(Inputs!$B$4*(1-Inputs!$B$5)))*12)/12,(Inputs!$B$4*(1-Inputs!$B$5))),2))</f>
        <v>336425.03</v>
      </c>
      <c r="H570" s="34" t="n">
        <f aca="false">IF(2&gt;=Inputs!$B$7,0,ROUND(-FV(Inputs!$B$6/12,2*12,-(-PMT(Inputs!$B$6/12,Inputs!$B$7*12,(Inputs!$B$4*(1-Inputs!$B$5)))*12)/12,(Inputs!$B$4*(1-Inputs!$B$5))),2))</f>
        <v>336425.03</v>
      </c>
    </row>
    <row r="571" customFormat="false" ht="15" hidden="true" customHeight="true" outlineLevel="0" collapsed="false">
      <c r="B571" s="34" t="n">
        <f aca="false">IF(3&gt;=Inputs!$B$7,0,ROUND(-FV(Inputs!$B$6/12,3*12,-(-PMT(Inputs!$B$6/12,Inputs!$B$7*12,(Inputs!$B$4*(1-Inputs!$B$5)))*12)/12,(Inputs!$B$4*(1-Inputs!$B$5))),2))</f>
        <v>332605.85</v>
      </c>
      <c r="C571" s="34" t="n">
        <f aca="false">IF(3&gt;=Inputs!$B$7,0,ROUND(-FV(Inputs!$B$6/12,3*12,-(-PMT(Inputs!$B$6/12,Inputs!$B$7*12,(Inputs!$B$4*(1-Inputs!$B$5)))*12)/12,(Inputs!$B$4*(1-Inputs!$B$5))),2))</f>
        <v>332605.85</v>
      </c>
      <c r="D571" s="34" t="n">
        <f aca="false">IF(3&gt;=Inputs!$B$7,0,ROUND(-FV(Inputs!$B$6/12,3*12,-(-PMT(Inputs!$B$6/12,Inputs!$B$7*12,(Inputs!$B$4*(1-Inputs!$B$5)))*12)/12,(Inputs!$B$4*(1-Inputs!$B$5))),2))</f>
        <v>332605.85</v>
      </c>
      <c r="E571" s="34" t="n">
        <f aca="false">IF(3&gt;=Inputs!$B$7,0,ROUND(-FV(Inputs!$B$6/12,3*12,-(-PMT(Inputs!$B$6/12,Inputs!$B$7*12,(Inputs!$B$4*(1-Inputs!$B$5)))*12)/12,(Inputs!$B$4*(1-Inputs!$B$5))),2))</f>
        <v>332605.85</v>
      </c>
      <c r="F571" s="34" t="n">
        <f aca="false">IF(3&gt;=Inputs!$B$7,0,ROUND(-FV(Inputs!$B$6/12,3*12,-(-PMT(Inputs!$B$6/12,Inputs!$B$7*12,(Inputs!$B$4*(1-Inputs!$B$5)))*12)/12,(Inputs!$B$4*(1-Inputs!$B$5))),2))</f>
        <v>332605.85</v>
      </c>
      <c r="G571" s="34" t="n">
        <f aca="false">IF(3&gt;=Inputs!$B$7,0,ROUND(-FV(Inputs!$B$6/12,3*12,-(-PMT(Inputs!$B$6/12,Inputs!$B$7*12,(Inputs!$B$4*(1-Inputs!$B$5)))*12)/12,(Inputs!$B$4*(1-Inputs!$B$5))),2))</f>
        <v>332605.85</v>
      </c>
      <c r="H571" s="34" t="n">
        <f aca="false">IF(3&gt;=Inputs!$B$7,0,ROUND(-FV(Inputs!$B$6/12,3*12,-(-PMT(Inputs!$B$6/12,Inputs!$B$7*12,(Inputs!$B$4*(1-Inputs!$B$5)))*12)/12,(Inputs!$B$4*(1-Inputs!$B$5))),2))</f>
        <v>332605.85</v>
      </c>
    </row>
    <row r="572" customFormat="false" ht="15" hidden="true" customHeight="true" outlineLevel="0" collapsed="false">
      <c r="B572" s="34" t="n">
        <f aca="false">IF(4&gt;=Inputs!$B$7,0,ROUND(-FV(Inputs!$B$6/12,4*12,-(-PMT(Inputs!$B$6/12,Inputs!$B$7*12,(Inputs!$B$4*(1-Inputs!$B$5)))*12)/12,(Inputs!$B$4*(1-Inputs!$B$5))),2))</f>
        <v>328499.15</v>
      </c>
      <c r="C572" s="34" t="n">
        <f aca="false">IF(4&gt;=Inputs!$B$7,0,ROUND(-FV(Inputs!$B$6/12,4*12,-(-PMT(Inputs!$B$6/12,Inputs!$B$7*12,(Inputs!$B$4*(1-Inputs!$B$5)))*12)/12,(Inputs!$B$4*(1-Inputs!$B$5))),2))</f>
        <v>328499.15</v>
      </c>
      <c r="D572" s="34" t="n">
        <f aca="false">IF(4&gt;=Inputs!$B$7,0,ROUND(-FV(Inputs!$B$6/12,4*12,-(-PMT(Inputs!$B$6/12,Inputs!$B$7*12,(Inputs!$B$4*(1-Inputs!$B$5)))*12)/12,(Inputs!$B$4*(1-Inputs!$B$5))),2))</f>
        <v>328499.15</v>
      </c>
      <c r="E572" s="34" t="n">
        <f aca="false">IF(4&gt;=Inputs!$B$7,0,ROUND(-FV(Inputs!$B$6/12,4*12,-(-PMT(Inputs!$B$6/12,Inputs!$B$7*12,(Inputs!$B$4*(1-Inputs!$B$5)))*12)/12,(Inputs!$B$4*(1-Inputs!$B$5))),2))</f>
        <v>328499.15</v>
      </c>
      <c r="F572" s="34" t="n">
        <f aca="false">IF(4&gt;=Inputs!$B$7,0,ROUND(-FV(Inputs!$B$6/12,4*12,-(-PMT(Inputs!$B$6/12,Inputs!$B$7*12,(Inputs!$B$4*(1-Inputs!$B$5)))*12)/12,(Inputs!$B$4*(1-Inputs!$B$5))),2))</f>
        <v>328499.15</v>
      </c>
      <c r="G572" s="34" t="n">
        <f aca="false">IF(4&gt;=Inputs!$B$7,0,ROUND(-FV(Inputs!$B$6/12,4*12,-(-PMT(Inputs!$B$6/12,Inputs!$B$7*12,(Inputs!$B$4*(1-Inputs!$B$5)))*12)/12,(Inputs!$B$4*(1-Inputs!$B$5))),2))</f>
        <v>328499.15</v>
      </c>
      <c r="H572" s="34" t="n">
        <f aca="false">IF(4&gt;=Inputs!$B$7,0,ROUND(-FV(Inputs!$B$6/12,4*12,-(-PMT(Inputs!$B$6/12,Inputs!$B$7*12,(Inputs!$B$4*(1-Inputs!$B$5)))*12)/12,(Inputs!$B$4*(1-Inputs!$B$5))),2))</f>
        <v>328499.15</v>
      </c>
    </row>
    <row r="573" customFormat="false" ht="15" hidden="true" customHeight="true" outlineLevel="0" collapsed="false">
      <c r="B573" s="34" t="n">
        <f aca="false">IF(5&gt;=Inputs!$B$7,0,ROUND(-FV(Inputs!$B$6/12,5*12,-(-PMT(Inputs!$B$6/12,Inputs!$B$7*12,(Inputs!$B$4*(1-Inputs!$B$5)))*12)/12,(Inputs!$B$4*(1-Inputs!$B$5))),2))</f>
        <v>324083.31</v>
      </c>
      <c r="C573" s="34" t="n">
        <f aca="false">IF(5&gt;=Inputs!$B$7,0,ROUND(-FV(Inputs!$B$6/12,5*12,-(-PMT(Inputs!$B$6/12,Inputs!$B$7*12,(Inputs!$B$4*(1-Inputs!$B$5)))*12)/12,(Inputs!$B$4*(1-Inputs!$B$5))),2))</f>
        <v>324083.31</v>
      </c>
      <c r="D573" s="34" t="n">
        <f aca="false">IF(5&gt;=Inputs!$B$7,0,ROUND(-FV(Inputs!$B$6/12,5*12,-(-PMT(Inputs!$B$6/12,Inputs!$B$7*12,(Inputs!$B$4*(1-Inputs!$B$5)))*12)/12,(Inputs!$B$4*(1-Inputs!$B$5))),2))</f>
        <v>324083.31</v>
      </c>
      <c r="E573" s="34" t="n">
        <f aca="false">IF(5&gt;=Inputs!$B$7,0,ROUND(-FV(Inputs!$B$6/12,5*12,-(-PMT(Inputs!$B$6/12,Inputs!$B$7*12,(Inputs!$B$4*(1-Inputs!$B$5)))*12)/12,(Inputs!$B$4*(1-Inputs!$B$5))),2))</f>
        <v>324083.31</v>
      </c>
      <c r="F573" s="34" t="n">
        <f aca="false">IF(5&gt;=Inputs!$B$7,0,ROUND(-FV(Inputs!$B$6/12,5*12,-(-PMT(Inputs!$B$6/12,Inputs!$B$7*12,(Inputs!$B$4*(1-Inputs!$B$5)))*12)/12,(Inputs!$B$4*(1-Inputs!$B$5))),2))</f>
        <v>324083.31</v>
      </c>
      <c r="G573" s="34" t="n">
        <f aca="false">IF(5&gt;=Inputs!$B$7,0,ROUND(-FV(Inputs!$B$6/12,5*12,-(-PMT(Inputs!$B$6/12,Inputs!$B$7*12,(Inputs!$B$4*(1-Inputs!$B$5)))*12)/12,(Inputs!$B$4*(1-Inputs!$B$5))),2))</f>
        <v>324083.31</v>
      </c>
      <c r="H573" s="34" t="n">
        <f aca="false">IF(5&gt;=Inputs!$B$7,0,ROUND(-FV(Inputs!$B$6/12,5*12,-(-PMT(Inputs!$B$6/12,Inputs!$B$7*12,(Inputs!$B$4*(1-Inputs!$B$5)))*12)/12,(Inputs!$B$4*(1-Inputs!$B$5))),2))</f>
        <v>324083.31</v>
      </c>
    </row>
    <row r="574" customFormat="false" ht="15" hidden="true" customHeight="true" outlineLevel="0" collapsed="false">
      <c r="B574" s="34" t="n">
        <f aca="false">IF(6&gt;=Inputs!$B$7,0,ROUND(-FV(Inputs!$B$6/12,6*12,-(-PMT(Inputs!$B$6/12,Inputs!$B$7*12,(Inputs!$B$4*(1-Inputs!$B$5)))*12)/12,(Inputs!$B$4*(1-Inputs!$B$5))),2))</f>
        <v>319335.05</v>
      </c>
      <c r="C574" s="34" t="n">
        <f aca="false">IF(6&gt;=Inputs!$B$7,0,ROUND(-FV(Inputs!$B$6/12,6*12,-(-PMT(Inputs!$B$6/12,Inputs!$B$7*12,(Inputs!$B$4*(1-Inputs!$B$5)))*12)/12,(Inputs!$B$4*(1-Inputs!$B$5))),2))</f>
        <v>319335.05</v>
      </c>
      <c r="D574" s="34" t="n">
        <f aca="false">IF(6&gt;=Inputs!$B$7,0,ROUND(-FV(Inputs!$B$6/12,6*12,-(-PMT(Inputs!$B$6/12,Inputs!$B$7*12,(Inputs!$B$4*(1-Inputs!$B$5)))*12)/12,(Inputs!$B$4*(1-Inputs!$B$5))),2))</f>
        <v>319335.05</v>
      </c>
      <c r="E574" s="34" t="n">
        <f aca="false">IF(6&gt;=Inputs!$B$7,0,ROUND(-FV(Inputs!$B$6/12,6*12,-(-PMT(Inputs!$B$6/12,Inputs!$B$7*12,(Inputs!$B$4*(1-Inputs!$B$5)))*12)/12,(Inputs!$B$4*(1-Inputs!$B$5))),2))</f>
        <v>319335.05</v>
      </c>
      <c r="F574" s="34" t="n">
        <f aca="false">IF(6&gt;=Inputs!$B$7,0,ROUND(-FV(Inputs!$B$6/12,6*12,-(-PMT(Inputs!$B$6/12,Inputs!$B$7*12,(Inputs!$B$4*(1-Inputs!$B$5)))*12)/12,(Inputs!$B$4*(1-Inputs!$B$5))),2))</f>
        <v>319335.05</v>
      </c>
      <c r="G574" s="34" t="n">
        <f aca="false">IF(6&gt;=Inputs!$B$7,0,ROUND(-FV(Inputs!$B$6/12,6*12,-(-PMT(Inputs!$B$6/12,Inputs!$B$7*12,(Inputs!$B$4*(1-Inputs!$B$5)))*12)/12,(Inputs!$B$4*(1-Inputs!$B$5))),2))</f>
        <v>319335.05</v>
      </c>
      <c r="H574" s="34" t="n">
        <f aca="false">IF(6&gt;=Inputs!$B$7,0,ROUND(-FV(Inputs!$B$6/12,6*12,-(-PMT(Inputs!$B$6/12,Inputs!$B$7*12,(Inputs!$B$4*(1-Inputs!$B$5)))*12)/12,(Inputs!$B$4*(1-Inputs!$B$5))),2))</f>
        <v>319335.05</v>
      </c>
    </row>
    <row r="575" customFormat="false" ht="15" hidden="true" customHeight="true" outlineLevel="0" collapsed="false">
      <c r="B575" s="34" t="n">
        <f aca="false">IF(7&gt;=Inputs!$B$7,0,ROUND(-FV(Inputs!$B$6/12,7*12,-(-PMT(Inputs!$B$6/12,Inputs!$B$7*12,(Inputs!$B$4*(1-Inputs!$B$5)))*12)/12,(Inputs!$B$4*(1-Inputs!$B$5))),2))</f>
        <v>314229.35</v>
      </c>
      <c r="C575" s="34" t="n">
        <f aca="false">IF(7&gt;=Inputs!$B$7,0,ROUND(-FV(Inputs!$B$6/12,7*12,-(-PMT(Inputs!$B$6/12,Inputs!$B$7*12,(Inputs!$B$4*(1-Inputs!$B$5)))*12)/12,(Inputs!$B$4*(1-Inputs!$B$5))),2))</f>
        <v>314229.35</v>
      </c>
      <c r="D575" s="34" t="n">
        <f aca="false">IF(7&gt;=Inputs!$B$7,0,ROUND(-FV(Inputs!$B$6/12,7*12,-(-PMT(Inputs!$B$6/12,Inputs!$B$7*12,(Inputs!$B$4*(1-Inputs!$B$5)))*12)/12,(Inputs!$B$4*(1-Inputs!$B$5))),2))</f>
        <v>314229.35</v>
      </c>
      <c r="E575" s="34" t="n">
        <f aca="false">IF(7&gt;=Inputs!$B$7,0,ROUND(-FV(Inputs!$B$6/12,7*12,-(-PMT(Inputs!$B$6/12,Inputs!$B$7*12,(Inputs!$B$4*(1-Inputs!$B$5)))*12)/12,(Inputs!$B$4*(1-Inputs!$B$5))),2))</f>
        <v>314229.35</v>
      </c>
      <c r="F575" s="34" t="n">
        <f aca="false">IF(7&gt;=Inputs!$B$7,0,ROUND(-FV(Inputs!$B$6/12,7*12,-(-PMT(Inputs!$B$6/12,Inputs!$B$7*12,(Inputs!$B$4*(1-Inputs!$B$5)))*12)/12,(Inputs!$B$4*(1-Inputs!$B$5))),2))</f>
        <v>314229.35</v>
      </c>
      <c r="G575" s="34" t="n">
        <f aca="false">IF(7&gt;=Inputs!$B$7,0,ROUND(-FV(Inputs!$B$6/12,7*12,-(-PMT(Inputs!$B$6/12,Inputs!$B$7*12,(Inputs!$B$4*(1-Inputs!$B$5)))*12)/12,(Inputs!$B$4*(1-Inputs!$B$5))),2))</f>
        <v>314229.35</v>
      </c>
      <c r="H575" s="34" t="n">
        <f aca="false">IF(7&gt;=Inputs!$B$7,0,ROUND(-FV(Inputs!$B$6/12,7*12,-(-PMT(Inputs!$B$6/12,Inputs!$B$7*12,(Inputs!$B$4*(1-Inputs!$B$5)))*12)/12,(Inputs!$B$4*(1-Inputs!$B$5))),2))</f>
        <v>314229.35</v>
      </c>
    </row>
    <row r="576" customFormat="false" ht="15" hidden="true" customHeight="true" outlineLevel="0" collapsed="false">
      <c r="B576" s="34" t="n">
        <f aca="false">IF(8&gt;=Inputs!$B$7,0,ROUND(-FV(Inputs!$B$6/12,8*12,-(-PMT(Inputs!$B$6/12,Inputs!$B$7*12,(Inputs!$B$4*(1-Inputs!$B$5)))*12)/12,(Inputs!$B$4*(1-Inputs!$B$5))),2))</f>
        <v>308739.3</v>
      </c>
      <c r="C576" s="34" t="n">
        <f aca="false">IF(8&gt;=Inputs!$B$7,0,ROUND(-FV(Inputs!$B$6/12,8*12,-(-PMT(Inputs!$B$6/12,Inputs!$B$7*12,(Inputs!$B$4*(1-Inputs!$B$5)))*12)/12,(Inputs!$B$4*(1-Inputs!$B$5))),2))</f>
        <v>308739.3</v>
      </c>
      <c r="D576" s="34" t="n">
        <f aca="false">IF(8&gt;=Inputs!$B$7,0,ROUND(-FV(Inputs!$B$6/12,8*12,-(-PMT(Inputs!$B$6/12,Inputs!$B$7*12,(Inputs!$B$4*(1-Inputs!$B$5)))*12)/12,(Inputs!$B$4*(1-Inputs!$B$5))),2))</f>
        <v>308739.3</v>
      </c>
      <c r="E576" s="34" t="n">
        <f aca="false">IF(8&gt;=Inputs!$B$7,0,ROUND(-FV(Inputs!$B$6/12,8*12,-(-PMT(Inputs!$B$6/12,Inputs!$B$7*12,(Inputs!$B$4*(1-Inputs!$B$5)))*12)/12,(Inputs!$B$4*(1-Inputs!$B$5))),2))</f>
        <v>308739.3</v>
      </c>
      <c r="F576" s="34" t="n">
        <f aca="false">IF(8&gt;=Inputs!$B$7,0,ROUND(-FV(Inputs!$B$6/12,8*12,-(-PMT(Inputs!$B$6/12,Inputs!$B$7*12,(Inputs!$B$4*(1-Inputs!$B$5)))*12)/12,(Inputs!$B$4*(1-Inputs!$B$5))),2))</f>
        <v>308739.3</v>
      </c>
      <c r="G576" s="34" t="n">
        <f aca="false">IF(8&gt;=Inputs!$B$7,0,ROUND(-FV(Inputs!$B$6/12,8*12,-(-PMT(Inputs!$B$6/12,Inputs!$B$7*12,(Inputs!$B$4*(1-Inputs!$B$5)))*12)/12,(Inputs!$B$4*(1-Inputs!$B$5))),2))</f>
        <v>308739.3</v>
      </c>
      <c r="H576" s="34" t="n">
        <f aca="false">IF(8&gt;=Inputs!$B$7,0,ROUND(-FV(Inputs!$B$6/12,8*12,-(-PMT(Inputs!$B$6/12,Inputs!$B$7*12,(Inputs!$B$4*(1-Inputs!$B$5)))*12)/12,(Inputs!$B$4*(1-Inputs!$B$5))),2))</f>
        <v>308739.3</v>
      </c>
    </row>
    <row r="577" customFormat="false" ht="15" hidden="true" customHeight="true" outlineLevel="0" collapsed="false">
      <c r="B577" s="34" t="n">
        <f aca="false">IF(9&gt;=Inputs!$B$7,0,ROUND(-FV(Inputs!$B$6/12,9*12,-(-PMT(Inputs!$B$6/12,Inputs!$B$7*12,(Inputs!$B$4*(1-Inputs!$B$5)))*12)/12,(Inputs!$B$4*(1-Inputs!$B$5))),2))</f>
        <v>302835.96</v>
      </c>
      <c r="C577" s="34" t="n">
        <f aca="false">IF(9&gt;=Inputs!$B$7,0,ROUND(-FV(Inputs!$B$6/12,9*12,-(-PMT(Inputs!$B$6/12,Inputs!$B$7*12,(Inputs!$B$4*(1-Inputs!$B$5)))*12)/12,(Inputs!$B$4*(1-Inputs!$B$5))),2))</f>
        <v>302835.96</v>
      </c>
      <c r="D577" s="34" t="n">
        <f aca="false">IF(9&gt;=Inputs!$B$7,0,ROUND(-FV(Inputs!$B$6/12,9*12,-(-PMT(Inputs!$B$6/12,Inputs!$B$7*12,(Inputs!$B$4*(1-Inputs!$B$5)))*12)/12,(Inputs!$B$4*(1-Inputs!$B$5))),2))</f>
        <v>302835.96</v>
      </c>
      <c r="E577" s="34" t="n">
        <f aca="false">IF(9&gt;=Inputs!$B$7,0,ROUND(-FV(Inputs!$B$6/12,9*12,-(-PMT(Inputs!$B$6/12,Inputs!$B$7*12,(Inputs!$B$4*(1-Inputs!$B$5)))*12)/12,(Inputs!$B$4*(1-Inputs!$B$5))),2))</f>
        <v>302835.96</v>
      </c>
      <c r="F577" s="34" t="n">
        <f aca="false">IF(9&gt;=Inputs!$B$7,0,ROUND(-FV(Inputs!$B$6/12,9*12,-(-PMT(Inputs!$B$6/12,Inputs!$B$7*12,(Inputs!$B$4*(1-Inputs!$B$5)))*12)/12,(Inputs!$B$4*(1-Inputs!$B$5))),2))</f>
        <v>302835.96</v>
      </c>
      <c r="G577" s="34" t="n">
        <f aca="false">IF(9&gt;=Inputs!$B$7,0,ROUND(-FV(Inputs!$B$6/12,9*12,-(-PMT(Inputs!$B$6/12,Inputs!$B$7*12,(Inputs!$B$4*(1-Inputs!$B$5)))*12)/12,(Inputs!$B$4*(1-Inputs!$B$5))),2))</f>
        <v>302835.96</v>
      </c>
      <c r="H577" s="34" t="n">
        <f aca="false">IF(9&gt;=Inputs!$B$7,0,ROUND(-FV(Inputs!$B$6/12,9*12,-(-PMT(Inputs!$B$6/12,Inputs!$B$7*12,(Inputs!$B$4*(1-Inputs!$B$5)))*12)/12,(Inputs!$B$4*(1-Inputs!$B$5))),2))</f>
        <v>302835.96</v>
      </c>
    </row>
    <row r="578" customFormat="false" ht="15" hidden="true" customHeight="true" outlineLevel="0" collapsed="false">
      <c r="B578" s="34" t="n">
        <f aca="false">IF(10&gt;=Inputs!$B$7,0,ROUND(-FV(Inputs!$B$6/12,10*12,-(-PMT(Inputs!$B$6/12,Inputs!$B$7*12,(Inputs!$B$4*(1-Inputs!$B$5)))*12)/12,(Inputs!$B$4*(1-Inputs!$B$5))),2))</f>
        <v>296488.22</v>
      </c>
      <c r="C578" s="34" t="n">
        <f aca="false">IF(10&gt;=Inputs!$B$7,0,ROUND(-FV(Inputs!$B$6/12,10*12,-(-PMT(Inputs!$B$6/12,Inputs!$B$7*12,(Inputs!$B$4*(1-Inputs!$B$5)))*12)/12,(Inputs!$B$4*(1-Inputs!$B$5))),2))</f>
        <v>296488.22</v>
      </c>
      <c r="D578" s="34" t="n">
        <f aca="false">IF(10&gt;=Inputs!$B$7,0,ROUND(-FV(Inputs!$B$6/12,10*12,-(-PMT(Inputs!$B$6/12,Inputs!$B$7*12,(Inputs!$B$4*(1-Inputs!$B$5)))*12)/12,(Inputs!$B$4*(1-Inputs!$B$5))),2))</f>
        <v>296488.22</v>
      </c>
      <c r="E578" s="34" t="n">
        <f aca="false">IF(10&gt;=Inputs!$B$7,0,ROUND(-FV(Inputs!$B$6/12,10*12,-(-PMT(Inputs!$B$6/12,Inputs!$B$7*12,(Inputs!$B$4*(1-Inputs!$B$5)))*12)/12,(Inputs!$B$4*(1-Inputs!$B$5))),2))</f>
        <v>296488.22</v>
      </c>
      <c r="F578" s="34" t="n">
        <f aca="false">IF(10&gt;=Inputs!$B$7,0,ROUND(-FV(Inputs!$B$6/12,10*12,-(-PMT(Inputs!$B$6/12,Inputs!$B$7*12,(Inputs!$B$4*(1-Inputs!$B$5)))*12)/12,(Inputs!$B$4*(1-Inputs!$B$5))),2))</f>
        <v>296488.22</v>
      </c>
      <c r="G578" s="34" t="n">
        <f aca="false">IF(10&gt;=Inputs!$B$7,0,ROUND(-FV(Inputs!$B$6/12,10*12,-(-PMT(Inputs!$B$6/12,Inputs!$B$7*12,(Inputs!$B$4*(1-Inputs!$B$5)))*12)/12,(Inputs!$B$4*(1-Inputs!$B$5))),2))</f>
        <v>296488.22</v>
      </c>
      <c r="H578" s="34" t="n">
        <f aca="false">IF(10&gt;=Inputs!$B$7,0,ROUND(-FV(Inputs!$B$6/12,10*12,-(-PMT(Inputs!$B$6/12,Inputs!$B$7*12,(Inputs!$B$4*(1-Inputs!$B$5)))*12)/12,(Inputs!$B$4*(1-Inputs!$B$5))),2))</f>
        <v>296488.22</v>
      </c>
    </row>
    <row r="579" customFormat="false" ht="15" hidden="true" customHeight="true" outlineLevel="0" collapsed="false">
      <c r="B579" s="34" t="n">
        <f aca="false">IF(11&gt;=Inputs!$B$7,0,ROUND(-FV(Inputs!$B$6/12,11*12,-(-PMT(Inputs!$B$6/12,Inputs!$B$7*12,(Inputs!$B$4*(1-Inputs!$B$5)))*12)/12,(Inputs!$B$4*(1-Inputs!$B$5))),2))</f>
        <v>289662.63</v>
      </c>
      <c r="C579" s="34" t="n">
        <f aca="false">IF(11&gt;=Inputs!$B$7,0,ROUND(-FV(Inputs!$B$6/12,11*12,-(-PMT(Inputs!$B$6/12,Inputs!$B$7*12,(Inputs!$B$4*(1-Inputs!$B$5)))*12)/12,(Inputs!$B$4*(1-Inputs!$B$5))),2))</f>
        <v>289662.63</v>
      </c>
      <c r="D579" s="34" t="n">
        <f aca="false">IF(11&gt;=Inputs!$B$7,0,ROUND(-FV(Inputs!$B$6/12,11*12,-(-PMT(Inputs!$B$6/12,Inputs!$B$7*12,(Inputs!$B$4*(1-Inputs!$B$5)))*12)/12,(Inputs!$B$4*(1-Inputs!$B$5))),2))</f>
        <v>289662.63</v>
      </c>
      <c r="E579" s="34" t="n">
        <f aca="false">IF(11&gt;=Inputs!$B$7,0,ROUND(-FV(Inputs!$B$6/12,11*12,-(-PMT(Inputs!$B$6/12,Inputs!$B$7*12,(Inputs!$B$4*(1-Inputs!$B$5)))*12)/12,(Inputs!$B$4*(1-Inputs!$B$5))),2))</f>
        <v>289662.63</v>
      </c>
      <c r="F579" s="34" t="n">
        <f aca="false">IF(11&gt;=Inputs!$B$7,0,ROUND(-FV(Inputs!$B$6/12,11*12,-(-PMT(Inputs!$B$6/12,Inputs!$B$7*12,(Inputs!$B$4*(1-Inputs!$B$5)))*12)/12,(Inputs!$B$4*(1-Inputs!$B$5))),2))</f>
        <v>289662.63</v>
      </c>
      <c r="G579" s="34" t="n">
        <f aca="false">IF(11&gt;=Inputs!$B$7,0,ROUND(-FV(Inputs!$B$6/12,11*12,-(-PMT(Inputs!$B$6/12,Inputs!$B$7*12,(Inputs!$B$4*(1-Inputs!$B$5)))*12)/12,(Inputs!$B$4*(1-Inputs!$B$5))),2))</f>
        <v>289662.63</v>
      </c>
      <c r="H579" s="34" t="n">
        <f aca="false">IF(11&gt;=Inputs!$B$7,0,ROUND(-FV(Inputs!$B$6/12,11*12,-(-PMT(Inputs!$B$6/12,Inputs!$B$7*12,(Inputs!$B$4*(1-Inputs!$B$5)))*12)/12,(Inputs!$B$4*(1-Inputs!$B$5))),2))</f>
        <v>289662.63</v>
      </c>
    </row>
    <row r="580" customFormat="false" ht="15" hidden="true" customHeight="true" outlineLevel="0" collapsed="false">
      <c r="B580" s="34" t="n">
        <f aca="false">IF(12&gt;=Inputs!$B$7,0,ROUND(-FV(Inputs!$B$6/12,12*12,-(-PMT(Inputs!$B$6/12,Inputs!$B$7*12,(Inputs!$B$4*(1-Inputs!$B$5)))*12)/12,(Inputs!$B$4*(1-Inputs!$B$5))),2))</f>
        <v>282323.22</v>
      </c>
      <c r="C580" s="34" t="n">
        <f aca="false">IF(12&gt;=Inputs!$B$7,0,ROUND(-FV(Inputs!$B$6/12,12*12,-(-PMT(Inputs!$B$6/12,Inputs!$B$7*12,(Inputs!$B$4*(1-Inputs!$B$5)))*12)/12,(Inputs!$B$4*(1-Inputs!$B$5))),2))</f>
        <v>282323.22</v>
      </c>
      <c r="D580" s="34" t="n">
        <f aca="false">IF(12&gt;=Inputs!$B$7,0,ROUND(-FV(Inputs!$B$6/12,12*12,-(-PMT(Inputs!$B$6/12,Inputs!$B$7*12,(Inputs!$B$4*(1-Inputs!$B$5)))*12)/12,(Inputs!$B$4*(1-Inputs!$B$5))),2))</f>
        <v>282323.22</v>
      </c>
      <c r="E580" s="34" t="n">
        <f aca="false">IF(12&gt;=Inputs!$B$7,0,ROUND(-FV(Inputs!$B$6/12,12*12,-(-PMT(Inputs!$B$6/12,Inputs!$B$7*12,(Inputs!$B$4*(1-Inputs!$B$5)))*12)/12,(Inputs!$B$4*(1-Inputs!$B$5))),2))</f>
        <v>282323.22</v>
      </c>
      <c r="F580" s="34" t="n">
        <f aca="false">IF(12&gt;=Inputs!$B$7,0,ROUND(-FV(Inputs!$B$6/12,12*12,-(-PMT(Inputs!$B$6/12,Inputs!$B$7*12,(Inputs!$B$4*(1-Inputs!$B$5)))*12)/12,(Inputs!$B$4*(1-Inputs!$B$5))),2))</f>
        <v>282323.22</v>
      </c>
      <c r="G580" s="34" t="n">
        <f aca="false">IF(12&gt;=Inputs!$B$7,0,ROUND(-FV(Inputs!$B$6/12,12*12,-(-PMT(Inputs!$B$6/12,Inputs!$B$7*12,(Inputs!$B$4*(1-Inputs!$B$5)))*12)/12,(Inputs!$B$4*(1-Inputs!$B$5))),2))</f>
        <v>282323.22</v>
      </c>
      <c r="H580" s="34" t="n">
        <f aca="false">IF(12&gt;=Inputs!$B$7,0,ROUND(-FV(Inputs!$B$6/12,12*12,-(-PMT(Inputs!$B$6/12,Inputs!$B$7*12,(Inputs!$B$4*(1-Inputs!$B$5)))*12)/12,(Inputs!$B$4*(1-Inputs!$B$5))),2))</f>
        <v>282323.22</v>
      </c>
    </row>
    <row r="581" customFormat="false" ht="15" hidden="true" customHeight="true" outlineLevel="0" collapsed="false">
      <c r="B581" s="34" t="n">
        <f aca="false">IF(13&gt;=Inputs!$B$7,0,ROUND(-FV(Inputs!$B$6/12,13*12,-(-PMT(Inputs!$B$6/12,Inputs!$B$7*12,(Inputs!$B$4*(1-Inputs!$B$5)))*12)/12,(Inputs!$B$4*(1-Inputs!$B$5))),2))</f>
        <v>274431.31</v>
      </c>
      <c r="C581" s="34" t="n">
        <f aca="false">IF(13&gt;=Inputs!$B$7,0,ROUND(-FV(Inputs!$B$6/12,13*12,-(-PMT(Inputs!$B$6/12,Inputs!$B$7*12,(Inputs!$B$4*(1-Inputs!$B$5)))*12)/12,(Inputs!$B$4*(1-Inputs!$B$5))),2))</f>
        <v>274431.31</v>
      </c>
      <c r="D581" s="34" t="n">
        <f aca="false">IF(13&gt;=Inputs!$B$7,0,ROUND(-FV(Inputs!$B$6/12,13*12,-(-PMT(Inputs!$B$6/12,Inputs!$B$7*12,(Inputs!$B$4*(1-Inputs!$B$5)))*12)/12,(Inputs!$B$4*(1-Inputs!$B$5))),2))</f>
        <v>274431.31</v>
      </c>
      <c r="E581" s="34" t="n">
        <f aca="false">IF(13&gt;=Inputs!$B$7,0,ROUND(-FV(Inputs!$B$6/12,13*12,-(-PMT(Inputs!$B$6/12,Inputs!$B$7*12,(Inputs!$B$4*(1-Inputs!$B$5)))*12)/12,(Inputs!$B$4*(1-Inputs!$B$5))),2))</f>
        <v>274431.31</v>
      </c>
      <c r="F581" s="34" t="n">
        <f aca="false">IF(13&gt;=Inputs!$B$7,0,ROUND(-FV(Inputs!$B$6/12,13*12,-(-PMT(Inputs!$B$6/12,Inputs!$B$7*12,(Inputs!$B$4*(1-Inputs!$B$5)))*12)/12,(Inputs!$B$4*(1-Inputs!$B$5))),2))</f>
        <v>274431.31</v>
      </c>
      <c r="G581" s="34" t="n">
        <f aca="false">IF(13&gt;=Inputs!$B$7,0,ROUND(-FV(Inputs!$B$6/12,13*12,-(-PMT(Inputs!$B$6/12,Inputs!$B$7*12,(Inputs!$B$4*(1-Inputs!$B$5)))*12)/12,(Inputs!$B$4*(1-Inputs!$B$5))),2))</f>
        <v>274431.31</v>
      </c>
      <c r="H581" s="34" t="n">
        <f aca="false">IF(13&gt;=Inputs!$B$7,0,ROUND(-FV(Inputs!$B$6/12,13*12,-(-PMT(Inputs!$B$6/12,Inputs!$B$7*12,(Inputs!$B$4*(1-Inputs!$B$5)))*12)/12,(Inputs!$B$4*(1-Inputs!$B$5))),2))</f>
        <v>274431.31</v>
      </c>
    </row>
    <row r="582" customFormat="false" ht="15" hidden="true" customHeight="true" outlineLevel="0" collapsed="false">
      <c r="B582" s="34" t="n">
        <f aca="false">IF(14&gt;=Inputs!$B$7,0,ROUND(-FV(Inputs!$B$6/12,14*12,-(-PMT(Inputs!$B$6/12,Inputs!$B$7*12,(Inputs!$B$4*(1-Inputs!$B$5)))*12)/12,(Inputs!$B$4*(1-Inputs!$B$5))),2))</f>
        <v>265945.3</v>
      </c>
      <c r="C582" s="34" t="n">
        <f aca="false">IF(14&gt;=Inputs!$B$7,0,ROUND(-FV(Inputs!$B$6/12,14*12,-(-PMT(Inputs!$B$6/12,Inputs!$B$7*12,(Inputs!$B$4*(1-Inputs!$B$5)))*12)/12,(Inputs!$B$4*(1-Inputs!$B$5))),2))</f>
        <v>265945.3</v>
      </c>
      <c r="D582" s="34" t="n">
        <f aca="false">IF(14&gt;=Inputs!$B$7,0,ROUND(-FV(Inputs!$B$6/12,14*12,-(-PMT(Inputs!$B$6/12,Inputs!$B$7*12,(Inputs!$B$4*(1-Inputs!$B$5)))*12)/12,(Inputs!$B$4*(1-Inputs!$B$5))),2))</f>
        <v>265945.3</v>
      </c>
      <c r="E582" s="34" t="n">
        <f aca="false">IF(14&gt;=Inputs!$B$7,0,ROUND(-FV(Inputs!$B$6/12,14*12,-(-PMT(Inputs!$B$6/12,Inputs!$B$7*12,(Inputs!$B$4*(1-Inputs!$B$5)))*12)/12,(Inputs!$B$4*(1-Inputs!$B$5))),2))</f>
        <v>265945.3</v>
      </c>
      <c r="F582" s="34" t="n">
        <f aca="false">IF(14&gt;=Inputs!$B$7,0,ROUND(-FV(Inputs!$B$6/12,14*12,-(-PMT(Inputs!$B$6/12,Inputs!$B$7*12,(Inputs!$B$4*(1-Inputs!$B$5)))*12)/12,(Inputs!$B$4*(1-Inputs!$B$5))),2))</f>
        <v>265945.3</v>
      </c>
      <c r="G582" s="34" t="n">
        <f aca="false">IF(14&gt;=Inputs!$B$7,0,ROUND(-FV(Inputs!$B$6/12,14*12,-(-PMT(Inputs!$B$6/12,Inputs!$B$7*12,(Inputs!$B$4*(1-Inputs!$B$5)))*12)/12,(Inputs!$B$4*(1-Inputs!$B$5))),2))</f>
        <v>265945.3</v>
      </c>
      <c r="H582" s="34" t="n">
        <f aca="false">IF(14&gt;=Inputs!$B$7,0,ROUND(-FV(Inputs!$B$6/12,14*12,-(-PMT(Inputs!$B$6/12,Inputs!$B$7*12,(Inputs!$B$4*(1-Inputs!$B$5)))*12)/12,(Inputs!$B$4*(1-Inputs!$B$5))),2))</f>
        <v>265945.3</v>
      </c>
    </row>
    <row r="583" customFormat="false" ht="15" hidden="true" customHeight="true" outlineLevel="0" collapsed="false">
      <c r="B583" s="34" t="n">
        <f aca="false">IF(15&gt;=Inputs!$B$7,0,ROUND(-FV(Inputs!$B$6/12,15*12,-(-PMT(Inputs!$B$6/12,Inputs!$B$7*12,(Inputs!$B$4*(1-Inputs!$B$5)))*12)/12,(Inputs!$B$4*(1-Inputs!$B$5))),2))</f>
        <v>256820.48</v>
      </c>
      <c r="C583" s="34" t="n">
        <f aca="false">IF(15&gt;=Inputs!$B$7,0,ROUND(-FV(Inputs!$B$6/12,15*12,-(-PMT(Inputs!$B$6/12,Inputs!$B$7*12,(Inputs!$B$4*(1-Inputs!$B$5)))*12)/12,(Inputs!$B$4*(1-Inputs!$B$5))),2))</f>
        <v>256820.48</v>
      </c>
      <c r="D583" s="34" t="n">
        <f aca="false">IF(15&gt;=Inputs!$B$7,0,ROUND(-FV(Inputs!$B$6/12,15*12,-(-PMT(Inputs!$B$6/12,Inputs!$B$7*12,(Inputs!$B$4*(1-Inputs!$B$5)))*12)/12,(Inputs!$B$4*(1-Inputs!$B$5))),2))</f>
        <v>256820.48</v>
      </c>
      <c r="E583" s="34" t="n">
        <f aca="false">IF(15&gt;=Inputs!$B$7,0,ROUND(-FV(Inputs!$B$6/12,15*12,-(-PMT(Inputs!$B$6/12,Inputs!$B$7*12,(Inputs!$B$4*(1-Inputs!$B$5)))*12)/12,(Inputs!$B$4*(1-Inputs!$B$5))),2))</f>
        <v>256820.48</v>
      </c>
      <c r="F583" s="34" t="n">
        <f aca="false">IF(15&gt;=Inputs!$B$7,0,ROUND(-FV(Inputs!$B$6/12,15*12,-(-PMT(Inputs!$B$6/12,Inputs!$B$7*12,(Inputs!$B$4*(1-Inputs!$B$5)))*12)/12,(Inputs!$B$4*(1-Inputs!$B$5))),2))</f>
        <v>256820.48</v>
      </c>
      <c r="G583" s="34" t="n">
        <f aca="false">IF(15&gt;=Inputs!$B$7,0,ROUND(-FV(Inputs!$B$6/12,15*12,-(-PMT(Inputs!$B$6/12,Inputs!$B$7*12,(Inputs!$B$4*(1-Inputs!$B$5)))*12)/12,(Inputs!$B$4*(1-Inputs!$B$5))),2))</f>
        <v>256820.48</v>
      </c>
      <c r="H583" s="34" t="n">
        <f aca="false">IF(15&gt;=Inputs!$B$7,0,ROUND(-FV(Inputs!$B$6/12,15*12,-(-PMT(Inputs!$B$6/12,Inputs!$B$7*12,(Inputs!$B$4*(1-Inputs!$B$5)))*12)/12,(Inputs!$B$4*(1-Inputs!$B$5))),2))</f>
        <v>256820.48</v>
      </c>
    </row>
    <row r="584" customFormat="false" ht="15" hidden="true" customHeight="true" outlineLevel="0" collapsed="false">
      <c r="B584" s="34" t="n">
        <f aca="false">IF(16&gt;=Inputs!$B$7,0,ROUND(-FV(Inputs!$B$6/12,16*12,-(-PMT(Inputs!$B$6/12,Inputs!$B$7*12,(Inputs!$B$4*(1-Inputs!$B$5)))*12)/12,(Inputs!$B$4*(1-Inputs!$B$5))),2))</f>
        <v>247008.75</v>
      </c>
      <c r="C584" s="34" t="n">
        <f aca="false">IF(16&gt;=Inputs!$B$7,0,ROUND(-FV(Inputs!$B$6/12,16*12,-(-PMT(Inputs!$B$6/12,Inputs!$B$7*12,(Inputs!$B$4*(1-Inputs!$B$5)))*12)/12,(Inputs!$B$4*(1-Inputs!$B$5))),2))</f>
        <v>247008.75</v>
      </c>
      <c r="D584" s="34" t="n">
        <f aca="false">IF(16&gt;=Inputs!$B$7,0,ROUND(-FV(Inputs!$B$6/12,16*12,-(-PMT(Inputs!$B$6/12,Inputs!$B$7*12,(Inputs!$B$4*(1-Inputs!$B$5)))*12)/12,(Inputs!$B$4*(1-Inputs!$B$5))),2))</f>
        <v>247008.75</v>
      </c>
      <c r="E584" s="34" t="n">
        <f aca="false">IF(16&gt;=Inputs!$B$7,0,ROUND(-FV(Inputs!$B$6/12,16*12,-(-PMT(Inputs!$B$6/12,Inputs!$B$7*12,(Inputs!$B$4*(1-Inputs!$B$5)))*12)/12,(Inputs!$B$4*(1-Inputs!$B$5))),2))</f>
        <v>247008.75</v>
      </c>
      <c r="F584" s="34" t="n">
        <f aca="false">IF(16&gt;=Inputs!$B$7,0,ROUND(-FV(Inputs!$B$6/12,16*12,-(-PMT(Inputs!$B$6/12,Inputs!$B$7*12,(Inputs!$B$4*(1-Inputs!$B$5)))*12)/12,(Inputs!$B$4*(1-Inputs!$B$5))),2))</f>
        <v>247008.75</v>
      </c>
      <c r="G584" s="34" t="n">
        <f aca="false">IF(16&gt;=Inputs!$B$7,0,ROUND(-FV(Inputs!$B$6/12,16*12,-(-PMT(Inputs!$B$6/12,Inputs!$B$7*12,(Inputs!$B$4*(1-Inputs!$B$5)))*12)/12,(Inputs!$B$4*(1-Inputs!$B$5))),2))</f>
        <v>247008.75</v>
      </c>
      <c r="H584" s="34" t="n">
        <f aca="false">IF(16&gt;=Inputs!$B$7,0,ROUND(-FV(Inputs!$B$6/12,16*12,-(-PMT(Inputs!$B$6/12,Inputs!$B$7*12,(Inputs!$B$4*(1-Inputs!$B$5)))*12)/12,(Inputs!$B$4*(1-Inputs!$B$5))),2))</f>
        <v>247008.75</v>
      </c>
    </row>
    <row r="585" customFormat="false" ht="15" hidden="true" customHeight="true" outlineLevel="0" collapsed="false">
      <c r="B585" s="34" t="n">
        <f aca="false">IF(17&gt;=Inputs!$B$7,0,ROUND(-FV(Inputs!$B$6/12,17*12,-(-PMT(Inputs!$B$6/12,Inputs!$B$7*12,(Inputs!$B$4*(1-Inputs!$B$5)))*12)/12,(Inputs!$B$4*(1-Inputs!$B$5))),2))</f>
        <v>236458.4</v>
      </c>
      <c r="C585" s="34" t="n">
        <f aca="false">IF(17&gt;=Inputs!$B$7,0,ROUND(-FV(Inputs!$B$6/12,17*12,-(-PMT(Inputs!$B$6/12,Inputs!$B$7*12,(Inputs!$B$4*(1-Inputs!$B$5)))*12)/12,(Inputs!$B$4*(1-Inputs!$B$5))),2))</f>
        <v>236458.4</v>
      </c>
      <c r="D585" s="34" t="n">
        <f aca="false">IF(17&gt;=Inputs!$B$7,0,ROUND(-FV(Inputs!$B$6/12,17*12,-(-PMT(Inputs!$B$6/12,Inputs!$B$7*12,(Inputs!$B$4*(1-Inputs!$B$5)))*12)/12,(Inputs!$B$4*(1-Inputs!$B$5))),2))</f>
        <v>236458.4</v>
      </c>
      <c r="E585" s="34" t="n">
        <f aca="false">IF(17&gt;=Inputs!$B$7,0,ROUND(-FV(Inputs!$B$6/12,17*12,-(-PMT(Inputs!$B$6/12,Inputs!$B$7*12,(Inputs!$B$4*(1-Inputs!$B$5)))*12)/12,(Inputs!$B$4*(1-Inputs!$B$5))),2))</f>
        <v>236458.4</v>
      </c>
      <c r="F585" s="34" t="n">
        <f aca="false">IF(17&gt;=Inputs!$B$7,0,ROUND(-FV(Inputs!$B$6/12,17*12,-(-PMT(Inputs!$B$6/12,Inputs!$B$7*12,(Inputs!$B$4*(1-Inputs!$B$5)))*12)/12,(Inputs!$B$4*(1-Inputs!$B$5))),2))</f>
        <v>236458.4</v>
      </c>
      <c r="G585" s="34" t="n">
        <f aca="false">IF(17&gt;=Inputs!$B$7,0,ROUND(-FV(Inputs!$B$6/12,17*12,-(-PMT(Inputs!$B$6/12,Inputs!$B$7*12,(Inputs!$B$4*(1-Inputs!$B$5)))*12)/12,(Inputs!$B$4*(1-Inputs!$B$5))),2))</f>
        <v>236458.4</v>
      </c>
      <c r="H585" s="34" t="n">
        <f aca="false">IF(17&gt;=Inputs!$B$7,0,ROUND(-FV(Inputs!$B$6/12,17*12,-(-PMT(Inputs!$B$6/12,Inputs!$B$7*12,(Inputs!$B$4*(1-Inputs!$B$5)))*12)/12,(Inputs!$B$4*(1-Inputs!$B$5))),2))</f>
        <v>236458.4</v>
      </c>
    </row>
    <row r="586" customFormat="false" ht="15" hidden="true" customHeight="true" outlineLevel="0" collapsed="false">
      <c r="B586" s="34" t="n">
        <f aca="false">IF(18&gt;=Inputs!$B$7,0,ROUND(-FV(Inputs!$B$6/12,18*12,-(-PMT(Inputs!$B$6/12,Inputs!$B$7*12,(Inputs!$B$4*(1-Inputs!$B$5)))*12)/12,(Inputs!$B$4*(1-Inputs!$B$5))),2))</f>
        <v>225113.83</v>
      </c>
      <c r="C586" s="34" t="n">
        <f aca="false">IF(18&gt;=Inputs!$B$7,0,ROUND(-FV(Inputs!$B$6/12,18*12,-(-PMT(Inputs!$B$6/12,Inputs!$B$7*12,(Inputs!$B$4*(1-Inputs!$B$5)))*12)/12,(Inputs!$B$4*(1-Inputs!$B$5))),2))</f>
        <v>225113.83</v>
      </c>
      <c r="D586" s="34" t="n">
        <f aca="false">IF(18&gt;=Inputs!$B$7,0,ROUND(-FV(Inputs!$B$6/12,18*12,-(-PMT(Inputs!$B$6/12,Inputs!$B$7*12,(Inputs!$B$4*(1-Inputs!$B$5)))*12)/12,(Inputs!$B$4*(1-Inputs!$B$5))),2))</f>
        <v>225113.83</v>
      </c>
      <c r="E586" s="34" t="n">
        <f aca="false">IF(18&gt;=Inputs!$B$7,0,ROUND(-FV(Inputs!$B$6/12,18*12,-(-PMT(Inputs!$B$6/12,Inputs!$B$7*12,(Inputs!$B$4*(1-Inputs!$B$5)))*12)/12,(Inputs!$B$4*(1-Inputs!$B$5))),2))</f>
        <v>225113.83</v>
      </c>
      <c r="F586" s="34" t="n">
        <f aca="false">IF(18&gt;=Inputs!$B$7,0,ROUND(-FV(Inputs!$B$6/12,18*12,-(-PMT(Inputs!$B$6/12,Inputs!$B$7*12,(Inputs!$B$4*(1-Inputs!$B$5)))*12)/12,(Inputs!$B$4*(1-Inputs!$B$5))),2))</f>
        <v>225113.83</v>
      </c>
      <c r="G586" s="34" t="n">
        <f aca="false">IF(18&gt;=Inputs!$B$7,0,ROUND(-FV(Inputs!$B$6/12,18*12,-(-PMT(Inputs!$B$6/12,Inputs!$B$7*12,(Inputs!$B$4*(1-Inputs!$B$5)))*12)/12,(Inputs!$B$4*(1-Inputs!$B$5))),2))</f>
        <v>225113.83</v>
      </c>
      <c r="H586" s="34" t="n">
        <f aca="false">IF(18&gt;=Inputs!$B$7,0,ROUND(-FV(Inputs!$B$6/12,18*12,-(-PMT(Inputs!$B$6/12,Inputs!$B$7*12,(Inputs!$B$4*(1-Inputs!$B$5)))*12)/12,(Inputs!$B$4*(1-Inputs!$B$5))),2))</f>
        <v>225113.83</v>
      </c>
    </row>
    <row r="587" customFormat="false" ht="15" hidden="true" customHeight="true" outlineLevel="0" collapsed="false">
      <c r="B587" s="34" t="n">
        <f aca="false">IF(19&gt;=Inputs!$B$7,0,ROUND(-FV(Inputs!$B$6/12,19*12,-(-PMT(Inputs!$B$6/12,Inputs!$B$7*12,(Inputs!$B$4*(1-Inputs!$B$5)))*12)/12,(Inputs!$B$4*(1-Inputs!$B$5))),2))</f>
        <v>212915.26</v>
      </c>
      <c r="C587" s="34" t="n">
        <f aca="false">IF(19&gt;=Inputs!$B$7,0,ROUND(-FV(Inputs!$B$6/12,19*12,-(-PMT(Inputs!$B$6/12,Inputs!$B$7*12,(Inputs!$B$4*(1-Inputs!$B$5)))*12)/12,(Inputs!$B$4*(1-Inputs!$B$5))),2))</f>
        <v>212915.26</v>
      </c>
      <c r="D587" s="34" t="n">
        <f aca="false">IF(19&gt;=Inputs!$B$7,0,ROUND(-FV(Inputs!$B$6/12,19*12,-(-PMT(Inputs!$B$6/12,Inputs!$B$7*12,(Inputs!$B$4*(1-Inputs!$B$5)))*12)/12,(Inputs!$B$4*(1-Inputs!$B$5))),2))</f>
        <v>212915.26</v>
      </c>
      <c r="E587" s="34" t="n">
        <f aca="false">IF(19&gt;=Inputs!$B$7,0,ROUND(-FV(Inputs!$B$6/12,19*12,-(-PMT(Inputs!$B$6/12,Inputs!$B$7*12,(Inputs!$B$4*(1-Inputs!$B$5)))*12)/12,(Inputs!$B$4*(1-Inputs!$B$5))),2))</f>
        <v>212915.26</v>
      </c>
      <c r="F587" s="34" t="n">
        <f aca="false">IF(19&gt;=Inputs!$B$7,0,ROUND(-FV(Inputs!$B$6/12,19*12,-(-PMT(Inputs!$B$6/12,Inputs!$B$7*12,(Inputs!$B$4*(1-Inputs!$B$5)))*12)/12,(Inputs!$B$4*(1-Inputs!$B$5))),2))</f>
        <v>212915.26</v>
      </c>
      <c r="G587" s="34" t="n">
        <f aca="false">IF(19&gt;=Inputs!$B$7,0,ROUND(-FV(Inputs!$B$6/12,19*12,-(-PMT(Inputs!$B$6/12,Inputs!$B$7*12,(Inputs!$B$4*(1-Inputs!$B$5)))*12)/12,(Inputs!$B$4*(1-Inputs!$B$5))),2))</f>
        <v>212915.26</v>
      </c>
      <c r="H587" s="34" t="n">
        <f aca="false">IF(19&gt;=Inputs!$B$7,0,ROUND(-FV(Inputs!$B$6/12,19*12,-(-PMT(Inputs!$B$6/12,Inputs!$B$7*12,(Inputs!$B$4*(1-Inputs!$B$5)))*12)/12,(Inputs!$B$4*(1-Inputs!$B$5))),2))</f>
        <v>212915.26</v>
      </c>
    </row>
    <row r="588" customFormat="false" ht="15" hidden="true" customHeight="true" outlineLevel="0" collapsed="false">
      <c r="B588" s="34" t="n">
        <f aca="false">IF(20&gt;=Inputs!$B$7,0,ROUND(-FV(Inputs!$B$6/12,20*12,-(-PMT(Inputs!$B$6/12,Inputs!$B$7*12,(Inputs!$B$4*(1-Inputs!$B$5)))*12)/12,(Inputs!$B$4*(1-Inputs!$B$5))),2))</f>
        <v>199798.39</v>
      </c>
      <c r="C588" s="34" t="n">
        <f aca="false">IF(20&gt;=Inputs!$B$7,0,ROUND(-FV(Inputs!$B$6/12,20*12,-(-PMT(Inputs!$B$6/12,Inputs!$B$7*12,(Inputs!$B$4*(1-Inputs!$B$5)))*12)/12,(Inputs!$B$4*(1-Inputs!$B$5))),2))</f>
        <v>199798.39</v>
      </c>
      <c r="D588" s="34" t="n">
        <f aca="false">IF(20&gt;=Inputs!$B$7,0,ROUND(-FV(Inputs!$B$6/12,20*12,-(-PMT(Inputs!$B$6/12,Inputs!$B$7*12,(Inputs!$B$4*(1-Inputs!$B$5)))*12)/12,(Inputs!$B$4*(1-Inputs!$B$5))),2))</f>
        <v>199798.39</v>
      </c>
      <c r="E588" s="34" t="n">
        <f aca="false">IF(20&gt;=Inputs!$B$7,0,ROUND(-FV(Inputs!$B$6/12,20*12,-(-PMT(Inputs!$B$6/12,Inputs!$B$7*12,(Inputs!$B$4*(1-Inputs!$B$5)))*12)/12,(Inputs!$B$4*(1-Inputs!$B$5))),2))</f>
        <v>199798.39</v>
      </c>
      <c r="F588" s="34" t="n">
        <f aca="false">IF(20&gt;=Inputs!$B$7,0,ROUND(-FV(Inputs!$B$6/12,20*12,-(-PMT(Inputs!$B$6/12,Inputs!$B$7*12,(Inputs!$B$4*(1-Inputs!$B$5)))*12)/12,(Inputs!$B$4*(1-Inputs!$B$5))),2))</f>
        <v>199798.39</v>
      </c>
      <c r="G588" s="34" t="n">
        <f aca="false">IF(20&gt;=Inputs!$B$7,0,ROUND(-FV(Inputs!$B$6/12,20*12,-(-PMT(Inputs!$B$6/12,Inputs!$B$7*12,(Inputs!$B$4*(1-Inputs!$B$5)))*12)/12,(Inputs!$B$4*(1-Inputs!$B$5))),2))</f>
        <v>199798.39</v>
      </c>
      <c r="H588" s="34" t="n">
        <f aca="false">IF(20&gt;=Inputs!$B$7,0,ROUND(-FV(Inputs!$B$6/12,20*12,-(-PMT(Inputs!$B$6/12,Inputs!$B$7*12,(Inputs!$B$4*(1-Inputs!$B$5)))*12)/12,(Inputs!$B$4*(1-Inputs!$B$5))),2))</f>
        <v>199798.39</v>
      </c>
    </row>
    <row r="589" customFormat="false" ht="15" hidden="true" customHeight="true" outlineLevel="0" collapsed="false">
      <c r="B589" s="34" t="n">
        <f aca="false">IF(21&gt;=Inputs!$B$7,0,ROUND(-FV(Inputs!$B$6/12,21*12,-(-PMT(Inputs!$B$6/12,Inputs!$B$7*12,(Inputs!$B$4*(1-Inputs!$B$5)))*12)/12,(Inputs!$B$4*(1-Inputs!$B$5))),2))</f>
        <v>185694.1</v>
      </c>
      <c r="C589" s="34" t="n">
        <f aca="false">IF(21&gt;=Inputs!$B$7,0,ROUND(-FV(Inputs!$B$6/12,21*12,-(-PMT(Inputs!$B$6/12,Inputs!$B$7*12,(Inputs!$B$4*(1-Inputs!$B$5)))*12)/12,(Inputs!$B$4*(1-Inputs!$B$5))),2))</f>
        <v>185694.1</v>
      </c>
      <c r="D589" s="34" t="n">
        <f aca="false">IF(21&gt;=Inputs!$B$7,0,ROUND(-FV(Inputs!$B$6/12,21*12,-(-PMT(Inputs!$B$6/12,Inputs!$B$7*12,(Inputs!$B$4*(1-Inputs!$B$5)))*12)/12,(Inputs!$B$4*(1-Inputs!$B$5))),2))</f>
        <v>185694.1</v>
      </c>
      <c r="E589" s="34" t="n">
        <f aca="false">IF(21&gt;=Inputs!$B$7,0,ROUND(-FV(Inputs!$B$6/12,21*12,-(-PMT(Inputs!$B$6/12,Inputs!$B$7*12,(Inputs!$B$4*(1-Inputs!$B$5)))*12)/12,(Inputs!$B$4*(1-Inputs!$B$5))),2))</f>
        <v>185694.1</v>
      </c>
      <c r="F589" s="34" t="n">
        <f aca="false">IF(21&gt;=Inputs!$B$7,0,ROUND(-FV(Inputs!$B$6/12,21*12,-(-PMT(Inputs!$B$6/12,Inputs!$B$7*12,(Inputs!$B$4*(1-Inputs!$B$5)))*12)/12,(Inputs!$B$4*(1-Inputs!$B$5))),2))</f>
        <v>185694.1</v>
      </c>
      <c r="G589" s="34" t="n">
        <f aca="false">IF(21&gt;=Inputs!$B$7,0,ROUND(-FV(Inputs!$B$6/12,21*12,-(-PMT(Inputs!$B$6/12,Inputs!$B$7*12,(Inputs!$B$4*(1-Inputs!$B$5)))*12)/12,(Inputs!$B$4*(1-Inputs!$B$5))),2))</f>
        <v>185694.1</v>
      </c>
      <c r="H589" s="34" t="n">
        <f aca="false">IF(21&gt;=Inputs!$B$7,0,ROUND(-FV(Inputs!$B$6/12,21*12,-(-PMT(Inputs!$B$6/12,Inputs!$B$7*12,(Inputs!$B$4*(1-Inputs!$B$5)))*12)/12,(Inputs!$B$4*(1-Inputs!$B$5))),2))</f>
        <v>185694.1</v>
      </c>
    </row>
    <row r="590" customFormat="false" ht="15" hidden="true" customHeight="true" outlineLevel="0" collapsed="false">
      <c r="B590" s="34" t="n">
        <f aca="false">IF(22&gt;=Inputs!$B$7,0,ROUND(-FV(Inputs!$B$6/12,22*12,-(-PMT(Inputs!$B$6/12,Inputs!$B$7*12,(Inputs!$B$4*(1-Inputs!$B$5)))*12)/12,(Inputs!$B$4*(1-Inputs!$B$5))),2))</f>
        <v>170528.06</v>
      </c>
      <c r="C590" s="34" t="n">
        <f aca="false">IF(22&gt;=Inputs!$B$7,0,ROUND(-FV(Inputs!$B$6/12,22*12,-(-PMT(Inputs!$B$6/12,Inputs!$B$7*12,(Inputs!$B$4*(1-Inputs!$B$5)))*12)/12,(Inputs!$B$4*(1-Inputs!$B$5))),2))</f>
        <v>170528.06</v>
      </c>
      <c r="D590" s="34" t="n">
        <f aca="false">IF(22&gt;=Inputs!$B$7,0,ROUND(-FV(Inputs!$B$6/12,22*12,-(-PMT(Inputs!$B$6/12,Inputs!$B$7*12,(Inputs!$B$4*(1-Inputs!$B$5)))*12)/12,(Inputs!$B$4*(1-Inputs!$B$5))),2))</f>
        <v>170528.06</v>
      </c>
      <c r="E590" s="34" t="n">
        <f aca="false">IF(22&gt;=Inputs!$B$7,0,ROUND(-FV(Inputs!$B$6/12,22*12,-(-PMT(Inputs!$B$6/12,Inputs!$B$7*12,(Inputs!$B$4*(1-Inputs!$B$5)))*12)/12,(Inputs!$B$4*(1-Inputs!$B$5))),2))</f>
        <v>170528.06</v>
      </c>
      <c r="F590" s="34" t="n">
        <f aca="false">IF(22&gt;=Inputs!$B$7,0,ROUND(-FV(Inputs!$B$6/12,22*12,-(-PMT(Inputs!$B$6/12,Inputs!$B$7*12,(Inputs!$B$4*(1-Inputs!$B$5)))*12)/12,(Inputs!$B$4*(1-Inputs!$B$5))),2))</f>
        <v>170528.06</v>
      </c>
      <c r="G590" s="34" t="n">
        <f aca="false">IF(22&gt;=Inputs!$B$7,0,ROUND(-FV(Inputs!$B$6/12,22*12,-(-PMT(Inputs!$B$6/12,Inputs!$B$7*12,(Inputs!$B$4*(1-Inputs!$B$5)))*12)/12,(Inputs!$B$4*(1-Inputs!$B$5))),2))</f>
        <v>170528.06</v>
      </c>
      <c r="H590" s="34" t="n">
        <f aca="false">IF(22&gt;=Inputs!$B$7,0,ROUND(-FV(Inputs!$B$6/12,22*12,-(-PMT(Inputs!$B$6/12,Inputs!$B$7*12,(Inputs!$B$4*(1-Inputs!$B$5)))*12)/12,(Inputs!$B$4*(1-Inputs!$B$5))),2))</f>
        <v>170528.06</v>
      </c>
    </row>
    <row r="591" customFormat="false" ht="15" hidden="true" customHeight="true" outlineLevel="0" collapsed="false">
      <c r="B591" s="34" t="n">
        <f aca="false">IF(23&gt;=Inputs!$B$7,0,ROUND(-FV(Inputs!$B$6/12,23*12,-(-PMT(Inputs!$B$6/12,Inputs!$B$7*12,(Inputs!$B$4*(1-Inputs!$B$5)))*12)/12,(Inputs!$B$4*(1-Inputs!$B$5))),2))</f>
        <v>154220.33</v>
      </c>
      <c r="C591" s="34" t="n">
        <f aca="false">IF(23&gt;=Inputs!$B$7,0,ROUND(-FV(Inputs!$B$6/12,23*12,-(-PMT(Inputs!$B$6/12,Inputs!$B$7*12,(Inputs!$B$4*(1-Inputs!$B$5)))*12)/12,(Inputs!$B$4*(1-Inputs!$B$5))),2))</f>
        <v>154220.33</v>
      </c>
      <c r="D591" s="34" t="n">
        <f aca="false">IF(23&gt;=Inputs!$B$7,0,ROUND(-FV(Inputs!$B$6/12,23*12,-(-PMT(Inputs!$B$6/12,Inputs!$B$7*12,(Inputs!$B$4*(1-Inputs!$B$5)))*12)/12,(Inputs!$B$4*(1-Inputs!$B$5))),2))</f>
        <v>154220.33</v>
      </c>
      <c r="E591" s="34" t="n">
        <f aca="false">IF(23&gt;=Inputs!$B$7,0,ROUND(-FV(Inputs!$B$6/12,23*12,-(-PMT(Inputs!$B$6/12,Inputs!$B$7*12,(Inputs!$B$4*(1-Inputs!$B$5)))*12)/12,(Inputs!$B$4*(1-Inputs!$B$5))),2))</f>
        <v>154220.33</v>
      </c>
      <c r="F591" s="34" t="n">
        <f aca="false">IF(23&gt;=Inputs!$B$7,0,ROUND(-FV(Inputs!$B$6/12,23*12,-(-PMT(Inputs!$B$6/12,Inputs!$B$7*12,(Inputs!$B$4*(1-Inputs!$B$5)))*12)/12,(Inputs!$B$4*(1-Inputs!$B$5))),2))</f>
        <v>154220.33</v>
      </c>
      <c r="G591" s="34" t="n">
        <f aca="false">IF(23&gt;=Inputs!$B$7,0,ROUND(-FV(Inputs!$B$6/12,23*12,-(-PMT(Inputs!$B$6/12,Inputs!$B$7*12,(Inputs!$B$4*(1-Inputs!$B$5)))*12)/12,(Inputs!$B$4*(1-Inputs!$B$5))),2))</f>
        <v>154220.33</v>
      </c>
      <c r="H591" s="34" t="n">
        <f aca="false">IF(23&gt;=Inputs!$B$7,0,ROUND(-FV(Inputs!$B$6/12,23*12,-(-PMT(Inputs!$B$6/12,Inputs!$B$7*12,(Inputs!$B$4*(1-Inputs!$B$5)))*12)/12,(Inputs!$B$4*(1-Inputs!$B$5))),2))</f>
        <v>154220.33</v>
      </c>
    </row>
    <row r="592" customFormat="false" ht="15" hidden="true" customHeight="true" outlineLevel="0" collapsed="false">
      <c r="B592" s="34" t="n">
        <f aca="false">IF(24&gt;=Inputs!$B$7,0,ROUND(-FV(Inputs!$B$6/12,24*12,-(-PMT(Inputs!$B$6/12,Inputs!$B$7*12,(Inputs!$B$4*(1-Inputs!$B$5)))*12)/12,(Inputs!$B$4*(1-Inputs!$B$5))),2))</f>
        <v>136684.97</v>
      </c>
      <c r="C592" s="34" t="n">
        <f aca="false">IF(24&gt;=Inputs!$B$7,0,ROUND(-FV(Inputs!$B$6/12,24*12,-(-PMT(Inputs!$B$6/12,Inputs!$B$7*12,(Inputs!$B$4*(1-Inputs!$B$5)))*12)/12,(Inputs!$B$4*(1-Inputs!$B$5))),2))</f>
        <v>136684.97</v>
      </c>
      <c r="D592" s="34" t="n">
        <f aca="false">IF(24&gt;=Inputs!$B$7,0,ROUND(-FV(Inputs!$B$6/12,24*12,-(-PMT(Inputs!$B$6/12,Inputs!$B$7*12,(Inputs!$B$4*(1-Inputs!$B$5)))*12)/12,(Inputs!$B$4*(1-Inputs!$B$5))),2))</f>
        <v>136684.97</v>
      </c>
      <c r="E592" s="34" t="n">
        <f aca="false">IF(24&gt;=Inputs!$B$7,0,ROUND(-FV(Inputs!$B$6/12,24*12,-(-PMT(Inputs!$B$6/12,Inputs!$B$7*12,(Inputs!$B$4*(1-Inputs!$B$5)))*12)/12,(Inputs!$B$4*(1-Inputs!$B$5))),2))</f>
        <v>136684.97</v>
      </c>
      <c r="F592" s="34" t="n">
        <f aca="false">IF(24&gt;=Inputs!$B$7,0,ROUND(-FV(Inputs!$B$6/12,24*12,-(-PMT(Inputs!$B$6/12,Inputs!$B$7*12,(Inputs!$B$4*(1-Inputs!$B$5)))*12)/12,(Inputs!$B$4*(1-Inputs!$B$5))),2))</f>
        <v>136684.97</v>
      </c>
      <c r="G592" s="34" t="n">
        <f aca="false">IF(24&gt;=Inputs!$B$7,0,ROUND(-FV(Inputs!$B$6/12,24*12,-(-PMT(Inputs!$B$6/12,Inputs!$B$7*12,(Inputs!$B$4*(1-Inputs!$B$5)))*12)/12,(Inputs!$B$4*(1-Inputs!$B$5))),2))</f>
        <v>136684.97</v>
      </c>
      <c r="H592" s="34" t="n">
        <f aca="false">IF(24&gt;=Inputs!$B$7,0,ROUND(-FV(Inputs!$B$6/12,24*12,-(-PMT(Inputs!$B$6/12,Inputs!$B$7*12,(Inputs!$B$4*(1-Inputs!$B$5)))*12)/12,(Inputs!$B$4*(1-Inputs!$B$5))),2))</f>
        <v>136684.97</v>
      </c>
    </row>
    <row r="593" customFormat="false" ht="15" hidden="true" customHeight="true" outlineLevel="0" collapsed="false">
      <c r="B593" s="34" t="n">
        <f aca="false">IF(25&gt;=Inputs!$B$7,0,ROUND(-FV(Inputs!$B$6/12,25*12,-(-PMT(Inputs!$B$6/12,Inputs!$B$7*12,(Inputs!$B$4*(1-Inputs!$B$5)))*12)/12,(Inputs!$B$4*(1-Inputs!$B$5))),2))</f>
        <v>117829.57</v>
      </c>
      <c r="C593" s="34" t="n">
        <f aca="false">IF(25&gt;=Inputs!$B$7,0,ROUND(-FV(Inputs!$B$6/12,25*12,-(-PMT(Inputs!$B$6/12,Inputs!$B$7*12,(Inputs!$B$4*(1-Inputs!$B$5)))*12)/12,(Inputs!$B$4*(1-Inputs!$B$5))),2))</f>
        <v>117829.57</v>
      </c>
      <c r="D593" s="34" t="n">
        <f aca="false">IF(25&gt;=Inputs!$B$7,0,ROUND(-FV(Inputs!$B$6/12,25*12,-(-PMT(Inputs!$B$6/12,Inputs!$B$7*12,(Inputs!$B$4*(1-Inputs!$B$5)))*12)/12,(Inputs!$B$4*(1-Inputs!$B$5))),2))</f>
        <v>117829.57</v>
      </c>
      <c r="E593" s="34" t="n">
        <f aca="false">IF(25&gt;=Inputs!$B$7,0,ROUND(-FV(Inputs!$B$6/12,25*12,-(-PMT(Inputs!$B$6/12,Inputs!$B$7*12,(Inputs!$B$4*(1-Inputs!$B$5)))*12)/12,(Inputs!$B$4*(1-Inputs!$B$5))),2))</f>
        <v>117829.57</v>
      </c>
      <c r="F593" s="34" t="n">
        <f aca="false">IF(25&gt;=Inputs!$B$7,0,ROUND(-FV(Inputs!$B$6/12,25*12,-(-PMT(Inputs!$B$6/12,Inputs!$B$7*12,(Inputs!$B$4*(1-Inputs!$B$5)))*12)/12,(Inputs!$B$4*(1-Inputs!$B$5))),2))</f>
        <v>117829.57</v>
      </c>
      <c r="G593" s="34" t="n">
        <f aca="false">IF(25&gt;=Inputs!$B$7,0,ROUND(-FV(Inputs!$B$6/12,25*12,-(-PMT(Inputs!$B$6/12,Inputs!$B$7*12,(Inputs!$B$4*(1-Inputs!$B$5)))*12)/12,(Inputs!$B$4*(1-Inputs!$B$5))),2))</f>
        <v>117829.57</v>
      </c>
      <c r="H593" s="34" t="n">
        <f aca="false">IF(25&gt;=Inputs!$B$7,0,ROUND(-FV(Inputs!$B$6/12,25*12,-(-PMT(Inputs!$B$6/12,Inputs!$B$7*12,(Inputs!$B$4*(1-Inputs!$B$5)))*12)/12,(Inputs!$B$4*(1-Inputs!$B$5))),2))</f>
        <v>117829.57</v>
      </c>
    </row>
    <row r="594" customFormat="false" ht="15" hidden="true" customHeight="true" outlineLevel="0" collapsed="false">
      <c r="B594" s="34" t="n">
        <f aca="false">IF(26&gt;=Inputs!$B$7,0,ROUND(-FV(Inputs!$B$6/12,26*12,-(-PMT(Inputs!$B$6/12,Inputs!$B$7*12,(Inputs!$B$4*(1-Inputs!$B$5)))*12)/12,(Inputs!$B$4*(1-Inputs!$B$5))),2))</f>
        <v>97554.76</v>
      </c>
      <c r="C594" s="34" t="n">
        <f aca="false">IF(26&gt;=Inputs!$B$7,0,ROUND(-FV(Inputs!$B$6/12,26*12,-(-PMT(Inputs!$B$6/12,Inputs!$B$7*12,(Inputs!$B$4*(1-Inputs!$B$5)))*12)/12,(Inputs!$B$4*(1-Inputs!$B$5))),2))</f>
        <v>97554.76</v>
      </c>
      <c r="D594" s="34" t="n">
        <f aca="false">IF(26&gt;=Inputs!$B$7,0,ROUND(-FV(Inputs!$B$6/12,26*12,-(-PMT(Inputs!$B$6/12,Inputs!$B$7*12,(Inputs!$B$4*(1-Inputs!$B$5)))*12)/12,(Inputs!$B$4*(1-Inputs!$B$5))),2))</f>
        <v>97554.76</v>
      </c>
      <c r="E594" s="34" t="n">
        <f aca="false">IF(26&gt;=Inputs!$B$7,0,ROUND(-FV(Inputs!$B$6/12,26*12,-(-PMT(Inputs!$B$6/12,Inputs!$B$7*12,(Inputs!$B$4*(1-Inputs!$B$5)))*12)/12,(Inputs!$B$4*(1-Inputs!$B$5))),2))</f>
        <v>97554.76</v>
      </c>
      <c r="F594" s="34" t="n">
        <f aca="false">IF(26&gt;=Inputs!$B$7,0,ROUND(-FV(Inputs!$B$6/12,26*12,-(-PMT(Inputs!$B$6/12,Inputs!$B$7*12,(Inputs!$B$4*(1-Inputs!$B$5)))*12)/12,(Inputs!$B$4*(1-Inputs!$B$5))),2))</f>
        <v>97554.76</v>
      </c>
      <c r="G594" s="34" t="n">
        <f aca="false">IF(26&gt;=Inputs!$B$7,0,ROUND(-FV(Inputs!$B$6/12,26*12,-(-PMT(Inputs!$B$6/12,Inputs!$B$7*12,(Inputs!$B$4*(1-Inputs!$B$5)))*12)/12,(Inputs!$B$4*(1-Inputs!$B$5))),2))</f>
        <v>97554.76</v>
      </c>
      <c r="H594" s="34" t="n">
        <f aca="false">IF(26&gt;=Inputs!$B$7,0,ROUND(-FV(Inputs!$B$6/12,26*12,-(-PMT(Inputs!$B$6/12,Inputs!$B$7*12,(Inputs!$B$4*(1-Inputs!$B$5)))*12)/12,(Inputs!$B$4*(1-Inputs!$B$5))),2))</f>
        <v>97554.76</v>
      </c>
    </row>
    <row r="595" customFormat="false" ht="15" hidden="true" customHeight="true" outlineLevel="0" collapsed="false">
      <c r="B595" s="34" t="n">
        <f aca="false">IF(27&gt;=Inputs!$B$7,0,ROUND(-FV(Inputs!$B$6/12,27*12,-(-PMT(Inputs!$B$6/12,Inputs!$B$7*12,(Inputs!$B$4*(1-Inputs!$B$5)))*12)/12,(Inputs!$B$4*(1-Inputs!$B$5))),2))</f>
        <v>75753.68</v>
      </c>
      <c r="C595" s="34" t="n">
        <f aca="false">IF(27&gt;=Inputs!$B$7,0,ROUND(-FV(Inputs!$B$6/12,27*12,-(-PMT(Inputs!$B$6/12,Inputs!$B$7*12,(Inputs!$B$4*(1-Inputs!$B$5)))*12)/12,(Inputs!$B$4*(1-Inputs!$B$5))),2))</f>
        <v>75753.68</v>
      </c>
      <c r="D595" s="34" t="n">
        <f aca="false">IF(27&gt;=Inputs!$B$7,0,ROUND(-FV(Inputs!$B$6/12,27*12,-(-PMT(Inputs!$B$6/12,Inputs!$B$7*12,(Inputs!$B$4*(1-Inputs!$B$5)))*12)/12,(Inputs!$B$4*(1-Inputs!$B$5))),2))</f>
        <v>75753.68</v>
      </c>
      <c r="E595" s="34" t="n">
        <f aca="false">IF(27&gt;=Inputs!$B$7,0,ROUND(-FV(Inputs!$B$6/12,27*12,-(-PMT(Inputs!$B$6/12,Inputs!$B$7*12,(Inputs!$B$4*(1-Inputs!$B$5)))*12)/12,(Inputs!$B$4*(1-Inputs!$B$5))),2))</f>
        <v>75753.68</v>
      </c>
      <c r="F595" s="34" t="n">
        <f aca="false">IF(27&gt;=Inputs!$B$7,0,ROUND(-FV(Inputs!$B$6/12,27*12,-(-PMT(Inputs!$B$6/12,Inputs!$B$7*12,(Inputs!$B$4*(1-Inputs!$B$5)))*12)/12,(Inputs!$B$4*(1-Inputs!$B$5))),2))</f>
        <v>75753.68</v>
      </c>
      <c r="G595" s="34" t="n">
        <f aca="false">IF(27&gt;=Inputs!$B$7,0,ROUND(-FV(Inputs!$B$6/12,27*12,-(-PMT(Inputs!$B$6/12,Inputs!$B$7*12,(Inputs!$B$4*(1-Inputs!$B$5)))*12)/12,(Inputs!$B$4*(1-Inputs!$B$5))),2))</f>
        <v>75753.68</v>
      </c>
      <c r="H595" s="34" t="n">
        <f aca="false">IF(27&gt;=Inputs!$B$7,0,ROUND(-FV(Inputs!$B$6/12,27*12,-(-PMT(Inputs!$B$6/12,Inputs!$B$7*12,(Inputs!$B$4*(1-Inputs!$B$5)))*12)/12,(Inputs!$B$4*(1-Inputs!$B$5))),2))</f>
        <v>75753.68</v>
      </c>
    </row>
    <row r="596" customFormat="false" ht="15" hidden="true" customHeight="true" outlineLevel="0" collapsed="false">
      <c r="B596" s="34" t="n">
        <f aca="false">IF(28&gt;=Inputs!$B$7,0,ROUND(-FV(Inputs!$B$6/12,28*12,-(-PMT(Inputs!$B$6/12,Inputs!$B$7*12,(Inputs!$B$4*(1-Inputs!$B$5)))*12)/12,(Inputs!$B$4*(1-Inputs!$B$5))),2))</f>
        <v>52311.44</v>
      </c>
      <c r="C596" s="34" t="n">
        <f aca="false">IF(28&gt;=Inputs!$B$7,0,ROUND(-FV(Inputs!$B$6/12,28*12,-(-PMT(Inputs!$B$6/12,Inputs!$B$7*12,(Inputs!$B$4*(1-Inputs!$B$5)))*12)/12,(Inputs!$B$4*(1-Inputs!$B$5))),2))</f>
        <v>52311.44</v>
      </c>
      <c r="D596" s="34" t="n">
        <f aca="false">IF(28&gt;=Inputs!$B$7,0,ROUND(-FV(Inputs!$B$6/12,28*12,-(-PMT(Inputs!$B$6/12,Inputs!$B$7*12,(Inputs!$B$4*(1-Inputs!$B$5)))*12)/12,(Inputs!$B$4*(1-Inputs!$B$5))),2))</f>
        <v>52311.44</v>
      </c>
      <c r="E596" s="34" t="n">
        <f aca="false">IF(28&gt;=Inputs!$B$7,0,ROUND(-FV(Inputs!$B$6/12,28*12,-(-PMT(Inputs!$B$6/12,Inputs!$B$7*12,(Inputs!$B$4*(1-Inputs!$B$5)))*12)/12,(Inputs!$B$4*(1-Inputs!$B$5))),2))</f>
        <v>52311.44</v>
      </c>
      <c r="F596" s="34" t="n">
        <f aca="false">IF(28&gt;=Inputs!$B$7,0,ROUND(-FV(Inputs!$B$6/12,28*12,-(-PMT(Inputs!$B$6/12,Inputs!$B$7*12,(Inputs!$B$4*(1-Inputs!$B$5)))*12)/12,(Inputs!$B$4*(1-Inputs!$B$5))),2))</f>
        <v>52311.44</v>
      </c>
      <c r="G596" s="34" t="n">
        <f aca="false">IF(28&gt;=Inputs!$B$7,0,ROUND(-FV(Inputs!$B$6/12,28*12,-(-PMT(Inputs!$B$6/12,Inputs!$B$7*12,(Inputs!$B$4*(1-Inputs!$B$5)))*12)/12,(Inputs!$B$4*(1-Inputs!$B$5))),2))</f>
        <v>52311.44</v>
      </c>
      <c r="H596" s="34" t="n">
        <f aca="false">IF(28&gt;=Inputs!$B$7,0,ROUND(-FV(Inputs!$B$6/12,28*12,-(-PMT(Inputs!$B$6/12,Inputs!$B$7*12,(Inputs!$B$4*(1-Inputs!$B$5)))*12)/12,(Inputs!$B$4*(1-Inputs!$B$5))),2))</f>
        <v>52311.44</v>
      </c>
    </row>
    <row r="597" customFormat="false" ht="15" hidden="true" customHeight="true" outlineLevel="0" collapsed="false">
      <c r="B597" s="34" t="n">
        <f aca="false">IF(29&gt;=Inputs!$B$7,0,ROUND(-FV(Inputs!$B$6/12,29*12,-(-PMT(Inputs!$B$6/12,Inputs!$B$7*12,(Inputs!$B$4*(1-Inputs!$B$5)))*12)/12,(Inputs!$B$4*(1-Inputs!$B$5))),2))</f>
        <v>27104.5</v>
      </c>
      <c r="C597" s="34" t="n">
        <f aca="false">IF(29&gt;=Inputs!$B$7,0,ROUND(-FV(Inputs!$B$6/12,29*12,-(-PMT(Inputs!$B$6/12,Inputs!$B$7*12,(Inputs!$B$4*(1-Inputs!$B$5)))*12)/12,(Inputs!$B$4*(1-Inputs!$B$5))),2))</f>
        <v>27104.5</v>
      </c>
      <c r="D597" s="34" t="n">
        <f aca="false">IF(29&gt;=Inputs!$B$7,0,ROUND(-FV(Inputs!$B$6/12,29*12,-(-PMT(Inputs!$B$6/12,Inputs!$B$7*12,(Inputs!$B$4*(1-Inputs!$B$5)))*12)/12,(Inputs!$B$4*(1-Inputs!$B$5))),2))</f>
        <v>27104.5</v>
      </c>
      <c r="E597" s="34" t="n">
        <f aca="false">IF(29&gt;=Inputs!$B$7,0,ROUND(-FV(Inputs!$B$6/12,29*12,-(-PMT(Inputs!$B$6/12,Inputs!$B$7*12,(Inputs!$B$4*(1-Inputs!$B$5)))*12)/12,(Inputs!$B$4*(1-Inputs!$B$5))),2))</f>
        <v>27104.5</v>
      </c>
      <c r="F597" s="34" t="n">
        <f aca="false">IF(29&gt;=Inputs!$B$7,0,ROUND(-FV(Inputs!$B$6/12,29*12,-(-PMT(Inputs!$B$6/12,Inputs!$B$7*12,(Inputs!$B$4*(1-Inputs!$B$5)))*12)/12,(Inputs!$B$4*(1-Inputs!$B$5))),2))</f>
        <v>27104.5</v>
      </c>
      <c r="G597" s="34" t="n">
        <f aca="false">IF(29&gt;=Inputs!$B$7,0,ROUND(-FV(Inputs!$B$6/12,29*12,-(-PMT(Inputs!$B$6/12,Inputs!$B$7*12,(Inputs!$B$4*(1-Inputs!$B$5)))*12)/12,(Inputs!$B$4*(1-Inputs!$B$5))),2))</f>
        <v>27104.5</v>
      </c>
      <c r="H597" s="34" t="n">
        <f aca="false">IF(29&gt;=Inputs!$B$7,0,ROUND(-FV(Inputs!$B$6/12,29*12,-(-PMT(Inputs!$B$6/12,Inputs!$B$7*12,(Inputs!$B$4*(1-Inputs!$B$5)))*12)/12,(Inputs!$B$4*(1-Inputs!$B$5))),2))</f>
        <v>27104.5</v>
      </c>
    </row>
    <row r="598" customFormat="false" ht="15" hidden="true" customHeight="true" outlineLevel="0" collapsed="false">
      <c r="B598" s="34" t="n">
        <f aca="false">IF(30&gt;=Inputs!$B$7,0,ROUND(-FV(Inputs!$B$6/12,30*12,-(-PMT(Inputs!$B$6/12,Inputs!$B$7*12,(Inputs!$B$4*(1-Inputs!$B$5)))*12)/12,(Inputs!$B$4*(1-Inputs!$B$5))),2))</f>
        <v>0</v>
      </c>
      <c r="C598" s="34" t="n">
        <f aca="false">IF(30&gt;=Inputs!$B$7,0,ROUND(-FV(Inputs!$B$6/12,30*12,-(-PMT(Inputs!$B$6/12,Inputs!$B$7*12,(Inputs!$B$4*(1-Inputs!$B$5)))*12)/12,(Inputs!$B$4*(1-Inputs!$B$5))),2))</f>
        <v>0</v>
      </c>
      <c r="D598" s="34" t="n">
        <f aca="false">IF(30&gt;=Inputs!$B$7,0,ROUND(-FV(Inputs!$B$6/12,30*12,-(-PMT(Inputs!$B$6/12,Inputs!$B$7*12,(Inputs!$B$4*(1-Inputs!$B$5)))*12)/12,(Inputs!$B$4*(1-Inputs!$B$5))),2))</f>
        <v>0</v>
      </c>
      <c r="E598" s="34" t="n">
        <f aca="false">IF(30&gt;=Inputs!$B$7,0,ROUND(-FV(Inputs!$B$6/12,30*12,-(-PMT(Inputs!$B$6/12,Inputs!$B$7*12,(Inputs!$B$4*(1-Inputs!$B$5)))*12)/12,(Inputs!$B$4*(1-Inputs!$B$5))),2))</f>
        <v>0</v>
      </c>
      <c r="F598" s="34" t="n">
        <f aca="false">IF(30&gt;=Inputs!$B$7,0,ROUND(-FV(Inputs!$B$6/12,30*12,-(-PMT(Inputs!$B$6/12,Inputs!$B$7*12,(Inputs!$B$4*(1-Inputs!$B$5)))*12)/12,(Inputs!$B$4*(1-Inputs!$B$5))),2))</f>
        <v>0</v>
      </c>
      <c r="G598" s="34" t="n">
        <f aca="false">IF(30&gt;=Inputs!$B$7,0,ROUND(-FV(Inputs!$B$6/12,30*12,-(-PMT(Inputs!$B$6/12,Inputs!$B$7*12,(Inputs!$B$4*(1-Inputs!$B$5)))*12)/12,(Inputs!$B$4*(1-Inputs!$B$5))),2))</f>
        <v>0</v>
      </c>
      <c r="H598" s="34" t="n">
        <f aca="false">IF(30&gt;=Inputs!$B$7,0,ROUND(-FV(Inputs!$B$6/12,30*12,-(-PMT(Inputs!$B$6/12,Inputs!$B$7*12,(Inputs!$B$4*(1-Inputs!$B$5)))*12)/12,(Inputs!$B$4*(1-Inputs!$B$5))),2))</f>
        <v>0</v>
      </c>
    </row>
    <row r="599" customFormat="false" ht="15" hidden="true" customHeight="true" outlineLevel="0" collapsed="false"/>
    <row r="600" customFormat="false" ht="15" hidden="true" customHeight="true" outlineLevel="0" collapsed="false">
      <c r="A600" s="33" t="s">
        <v>93</v>
      </c>
      <c r="B600" s="34" t="n">
        <v>0</v>
      </c>
      <c r="C600" s="34" t="n">
        <v>0</v>
      </c>
      <c r="D600" s="34" t="n">
        <v>0</v>
      </c>
      <c r="E600" s="34" t="n">
        <v>0</v>
      </c>
      <c r="F600" s="34" t="n">
        <v>0</v>
      </c>
      <c r="G600" s="34" t="n">
        <v>0</v>
      </c>
      <c r="H600" s="34" t="n">
        <v>0</v>
      </c>
    </row>
    <row r="601" customFormat="false" ht="15" hidden="true" customHeight="true" outlineLevel="0" collapsed="false">
      <c r="B601" s="34" t="n">
        <f aca="false">IF(1&gt;Inputs!$B$7,0,(-PMT(Inputs!$B$6/12,Inputs!$B$7*12,(Inputs!$B$4*(1-Inputs!$B$5)))*12))+B536*Inputs!$B$9+Inputs!$B$10*(1+Inputs!$B$15)^0+Inputs!$B$11*12*(1+Inputs!$B$15)^0+B536*Inputs!$B$12</f>
        <v>39396.2670698949</v>
      </c>
      <c r="C601" s="34" t="n">
        <f aca="false">IF(1&gt;Inputs!$B$7,0,(-PMT(Inputs!$B$6/12,Inputs!$B$7*12,(Inputs!$B$4*(1-Inputs!$B$5)))*12))+C536*Inputs!$B$9+Inputs!$B$10*(1+Inputs!$B$15)^0+Inputs!$B$11*12*(1+Inputs!$B$15)^0+C536*Inputs!$B$12</f>
        <v>39396.2670698949</v>
      </c>
      <c r="D601" s="34" t="n">
        <f aca="false">IF(1&gt;Inputs!$B$7,0,(-PMT(Inputs!$B$6/12,Inputs!$B$7*12,(Inputs!$B$4*(1-Inputs!$B$5)))*12))+D536*Inputs!$B$9+Inputs!$B$10*(1+Inputs!$B$15)^0+Inputs!$B$11*12*(1+Inputs!$B$15)^0+D536*Inputs!$B$12</f>
        <v>39396.2670698949</v>
      </c>
      <c r="E601" s="34" t="n">
        <f aca="false">IF(1&gt;Inputs!$B$7,0,(-PMT(Inputs!$B$6/12,Inputs!$B$7*12,(Inputs!$B$4*(1-Inputs!$B$5)))*12))+E536*Inputs!$B$9+Inputs!$B$10*(1+Inputs!$B$15)^0+Inputs!$B$11*12*(1+Inputs!$B$15)^0+E536*Inputs!$B$12</f>
        <v>39396.2670698949</v>
      </c>
      <c r="F601" s="34" t="n">
        <f aca="false">IF(1&gt;Inputs!$B$7,0,(-PMT(Inputs!$B$6/12,Inputs!$B$7*12,(Inputs!$B$4*(1-Inputs!$B$5)))*12))+F536*Inputs!$B$9+Inputs!$B$10*(1+Inputs!$B$15)^0+Inputs!$B$11*12*(1+Inputs!$B$15)^0+F536*Inputs!$B$12</f>
        <v>39396.2670698949</v>
      </c>
      <c r="G601" s="34" t="n">
        <f aca="false">IF(1&gt;Inputs!$B$7,0,(-PMT(Inputs!$B$6/12,Inputs!$B$7*12,(Inputs!$B$4*(1-Inputs!$B$5)))*12))+G536*Inputs!$B$9+Inputs!$B$10*(1+Inputs!$B$15)^0+Inputs!$B$11*12*(1+Inputs!$B$15)^0+G536*Inputs!$B$12</f>
        <v>39396.2670698949</v>
      </c>
      <c r="H601" s="34" t="n">
        <f aca="false">IF(1&gt;Inputs!$B$7,0,(-PMT(Inputs!$B$6/12,Inputs!$B$7*12,(Inputs!$B$4*(1-Inputs!$B$5)))*12))+H536*Inputs!$B$9+Inputs!$B$10*(1+Inputs!$B$15)^0+Inputs!$B$11*12*(1+Inputs!$B$15)^0+H536*Inputs!$B$12</f>
        <v>39396.2670698949</v>
      </c>
    </row>
    <row r="602" customFormat="false" ht="15" hidden="true" customHeight="true" outlineLevel="0" collapsed="false">
      <c r="B602" s="34" t="n">
        <f aca="false">IF(2&gt;Inputs!$B$7,0,(-PMT(Inputs!$B$6/12,Inputs!$B$7*12,(Inputs!$B$4*(1-Inputs!$B$5)))*12))+B537*Inputs!$B$9+Inputs!$B$10*(1+Inputs!$B$15)^1+Inputs!$B$11*12*(1+Inputs!$B$15)^1+B537*Inputs!$B$12</f>
        <v>39732.6000698949</v>
      </c>
      <c r="C602" s="34" t="n">
        <f aca="false">IF(2&gt;Inputs!$B$7,0,(-PMT(Inputs!$B$6/12,Inputs!$B$7*12,(Inputs!$B$4*(1-Inputs!$B$5)))*12))+C537*Inputs!$B$9+Inputs!$B$10*(1+Inputs!$B$15)^1+Inputs!$B$11*12*(1+Inputs!$B$15)^1+C537*Inputs!$B$12</f>
        <v>39732.6000698949</v>
      </c>
      <c r="D602" s="34" t="n">
        <f aca="false">IF(2&gt;Inputs!$B$7,0,(-PMT(Inputs!$B$6/12,Inputs!$B$7*12,(Inputs!$B$4*(1-Inputs!$B$5)))*12))+D537*Inputs!$B$9+Inputs!$B$10*(1+Inputs!$B$15)^1+Inputs!$B$11*12*(1+Inputs!$B$15)^1+D537*Inputs!$B$12</f>
        <v>39732.6000698949</v>
      </c>
      <c r="E602" s="34" t="n">
        <f aca="false">IF(2&gt;Inputs!$B$7,0,(-PMT(Inputs!$B$6/12,Inputs!$B$7*12,(Inputs!$B$4*(1-Inputs!$B$5)))*12))+E537*Inputs!$B$9+Inputs!$B$10*(1+Inputs!$B$15)^1+Inputs!$B$11*12*(1+Inputs!$B$15)^1+E537*Inputs!$B$12</f>
        <v>39732.6000698949</v>
      </c>
      <c r="F602" s="34" t="n">
        <f aca="false">IF(2&gt;Inputs!$B$7,0,(-PMT(Inputs!$B$6/12,Inputs!$B$7*12,(Inputs!$B$4*(1-Inputs!$B$5)))*12))+F537*Inputs!$B$9+Inputs!$B$10*(1+Inputs!$B$15)^1+Inputs!$B$11*12*(1+Inputs!$B$15)^1+F537*Inputs!$B$12</f>
        <v>39732.6000698949</v>
      </c>
      <c r="G602" s="34" t="n">
        <f aca="false">IF(2&gt;Inputs!$B$7,0,(-PMT(Inputs!$B$6/12,Inputs!$B$7*12,(Inputs!$B$4*(1-Inputs!$B$5)))*12))+G537*Inputs!$B$9+Inputs!$B$10*(1+Inputs!$B$15)^1+Inputs!$B$11*12*(1+Inputs!$B$15)^1+G537*Inputs!$B$12</f>
        <v>39732.6000698949</v>
      </c>
      <c r="H602" s="34" t="n">
        <f aca="false">IF(2&gt;Inputs!$B$7,0,(-PMT(Inputs!$B$6/12,Inputs!$B$7*12,(Inputs!$B$4*(1-Inputs!$B$5)))*12))+H537*Inputs!$B$9+Inputs!$B$10*(1+Inputs!$B$15)^1+Inputs!$B$11*12*(1+Inputs!$B$15)^1+H537*Inputs!$B$12</f>
        <v>39732.6000698949</v>
      </c>
    </row>
    <row r="603" customFormat="false" ht="15" hidden="true" customHeight="true" outlineLevel="0" collapsed="false">
      <c r="B603" s="34" t="n">
        <f aca="false">IF(3&gt;Inputs!$B$7,0,(-PMT(Inputs!$B$6/12,Inputs!$B$7*12,(Inputs!$B$4*(1-Inputs!$B$5)))*12))+B538*Inputs!$B$9+Inputs!$B$10*(1+Inputs!$B$15)^2+Inputs!$B$11*12*(1+Inputs!$B$15)^2+B538*Inputs!$B$12</f>
        <v>40079.0230598949</v>
      </c>
      <c r="C603" s="34" t="n">
        <f aca="false">IF(3&gt;Inputs!$B$7,0,(-PMT(Inputs!$B$6/12,Inputs!$B$7*12,(Inputs!$B$4*(1-Inputs!$B$5)))*12))+C538*Inputs!$B$9+Inputs!$B$10*(1+Inputs!$B$15)^2+Inputs!$B$11*12*(1+Inputs!$B$15)^2+C538*Inputs!$B$12</f>
        <v>40079.0230598949</v>
      </c>
      <c r="D603" s="34" t="n">
        <f aca="false">IF(3&gt;Inputs!$B$7,0,(-PMT(Inputs!$B$6/12,Inputs!$B$7*12,(Inputs!$B$4*(1-Inputs!$B$5)))*12))+D538*Inputs!$B$9+Inputs!$B$10*(1+Inputs!$B$15)^2+Inputs!$B$11*12*(1+Inputs!$B$15)^2+D538*Inputs!$B$12</f>
        <v>40079.0230598949</v>
      </c>
      <c r="E603" s="34" t="n">
        <f aca="false">IF(3&gt;Inputs!$B$7,0,(-PMT(Inputs!$B$6/12,Inputs!$B$7*12,(Inputs!$B$4*(1-Inputs!$B$5)))*12))+E538*Inputs!$B$9+Inputs!$B$10*(1+Inputs!$B$15)^2+Inputs!$B$11*12*(1+Inputs!$B$15)^2+E538*Inputs!$B$12</f>
        <v>40079.0230598949</v>
      </c>
      <c r="F603" s="34" t="n">
        <f aca="false">IF(3&gt;Inputs!$B$7,0,(-PMT(Inputs!$B$6/12,Inputs!$B$7*12,(Inputs!$B$4*(1-Inputs!$B$5)))*12))+F538*Inputs!$B$9+Inputs!$B$10*(1+Inputs!$B$15)^2+Inputs!$B$11*12*(1+Inputs!$B$15)^2+F538*Inputs!$B$12</f>
        <v>40079.0230598949</v>
      </c>
      <c r="G603" s="34" t="n">
        <f aca="false">IF(3&gt;Inputs!$B$7,0,(-PMT(Inputs!$B$6/12,Inputs!$B$7*12,(Inputs!$B$4*(1-Inputs!$B$5)))*12))+G538*Inputs!$B$9+Inputs!$B$10*(1+Inputs!$B$15)^2+Inputs!$B$11*12*(1+Inputs!$B$15)^2+G538*Inputs!$B$12</f>
        <v>40079.0230598949</v>
      </c>
      <c r="H603" s="34" t="n">
        <f aca="false">IF(3&gt;Inputs!$B$7,0,(-PMT(Inputs!$B$6/12,Inputs!$B$7*12,(Inputs!$B$4*(1-Inputs!$B$5)))*12))+H538*Inputs!$B$9+Inputs!$B$10*(1+Inputs!$B$15)^2+Inputs!$B$11*12*(1+Inputs!$B$15)^2+H538*Inputs!$B$12</f>
        <v>40079.0230598949</v>
      </c>
    </row>
    <row r="604" customFormat="false" ht="15" hidden="true" customHeight="true" outlineLevel="0" collapsed="false">
      <c r="B604" s="34" t="n">
        <f aca="false">IF(4&gt;Inputs!$B$7,0,(-PMT(Inputs!$B$6/12,Inputs!$B$7*12,(Inputs!$B$4*(1-Inputs!$B$5)))*12))+B539*Inputs!$B$9+Inputs!$B$10*(1+Inputs!$B$15)^3+Inputs!$B$11*12*(1+Inputs!$B$15)^3+B539*Inputs!$B$12</f>
        <v>40435.8387395949</v>
      </c>
      <c r="C604" s="34" t="n">
        <f aca="false">IF(4&gt;Inputs!$B$7,0,(-PMT(Inputs!$B$6/12,Inputs!$B$7*12,(Inputs!$B$4*(1-Inputs!$B$5)))*12))+C539*Inputs!$B$9+Inputs!$B$10*(1+Inputs!$B$15)^3+Inputs!$B$11*12*(1+Inputs!$B$15)^3+C539*Inputs!$B$12</f>
        <v>40435.8387395949</v>
      </c>
      <c r="D604" s="34" t="n">
        <f aca="false">IF(4&gt;Inputs!$B$7,0,(-PMT(Inputs!$B$6/12,Inputs!$B$7*12,(Inputs!$B$4*(1-Inputs!$B$5)))*12))+D539*Inputs!$B$9+Inputs!$B$10*(1+Inputs!$B$15)^3+Inputs!$B$11*12*(1+Inputs!$B$15)^3+D539*Inputs!$B$12</f>
        <v>40435.8387395949</v>
      </c>
      <c r="E604" s="34" t="n">
        <f aca="false">IF(4&gt;Inputs!$B$7,0,(-PMT(Inputs!$B$6/12,Inputs!$B$7*12,(Inputs!$B$4*(1-Inputs!$B$5)))*12))+E539*Inputs!$B$9+Inputs!$B$10*(1+Inputs!$B$15)^3+Inputs!$B$11*12*(1+Inputs!$B$15)^3+E539*Inputs!$B$12</f>
        <v>40435.8387395949</v>
      </c>
      <c r="F604" s="34" t="n">
        <f aca="false">IF(4&gt;Inputs!$B$7,0,(-PMT(Inputs!$B$6/12,Inputs!$B$7*12,(Inputs!$B$4*(1-Inputs!$B$5)))*12))+F539*Inputs!$B$9+Inputs!$B$10*(1+Inputs!$B$15)^3+Inputs!$B$11*12*(1+Inputs!$B$15)^3+F539*Inputs!$B$12</f>
        <v>40435.8387395949</v>
      </c>
      <c r="G604" s="34" t="n">
        <f aca="false">IF(4&gt;Inputs!$B$7,0,(-PMT(Inputs!$B$6/12,Inputs!$B$7*12,(Inputs!$B$4*(1-Inputs!$B$5)))*12))+G539*Inputs!$B$9+Inputs!$B$10*(1+Inputs!$B$15)^3+Inputs!$B$11*12*(1+Inputs!$B$15)^3+G539*Inputs!$B$12</f>
        <v>40435.8387395949</v>
      </c>
      <c r="H604" s="34" t="n">
        <f aca="false">IF(4&gt;Inputs!$B$7,0,(-PMT(Inputs!$B$6/12,Inputs!$B$7*12,(Inputs!$B$4*(1-Inputs!$B$5)))*12))+H539*Inputs!$B$9+Inputs!$B$10*(1+Inputs!$B$15)^3+Inputs!$B$11*12*(1+Inputs!$B$15)^3+H539*Inputs!$B$12</f>
        <v>40435.8387395949</v>
      </c>
    </row>
    <row r="605" customFormat="false" ht="15" hidden="true" customHeight="true" outlineLevel="0" collapsed="false">
      <c r="B605" s="34" t="n">
        <f aca="false">IF(5&gt;Inputs!$B$7,0,(-PMT(Inputs!$B$6/12,Inputs!$B$7*12,(Inputs!$B$4*(1-Inputs!$B$5)))*12))+B540*Inputs!$B$9+Inputs!$B$10*(1+Inputs!$B$15)^4+Inputs!$B$11*12*(1+Inputs!$B$15)^4+B540*Inputs!$B$12</f>
        <v>40803.3588896859</v>
      </c>
      <c r="C605" s="34" t="n">
        <f aca="false">IF(5&gt;Inputs!$B$7,0,(-PMT(Inputs!$B$6/12,Inputs!$B$7*12,(Inputs!$B$4*(1-Inputs!$B$5)))*12))+C540*Inputs!$B$9+Inputs!$B$10*(1+Inputs!$B$15)^4+Inputs!$B$11*12*(1+Inputs!$B$15)^4+C540*Inputs!$B$12</f>
        <v>40803.3588896859</v>
      </c>
      <c r="D605" s="34" t="n">
        <f aca="false">IF(5&gt;Inputs!$B$7,0,(-PMT(Inputs!$B$6/12,Inputs!$B$7*12,(Inputs!$B$4*(1-Inputs!$B$5)))*12))+D540*Inputs!$B$9+Inputs!$B$10*(1+Inputs!$B$15)^4+Inputs!$B$11*12*(1+Inputs!$B$15)^4+D540*Inputs!$B$12</f>
        <v>40803.3588896859</v>
      </c>
      <c r="E605" s="34" t="n">
        <f aca="false">IF(5&gt;Inputs!$B$7,0,(-PMT(Inputs!$B$6/12,Inputs!$B$7*12,(Inputs!$B$4*(1-Inputs!$B$5)))*12))+E540*Inputs!$B$9+Inputs!$B$10*(1+Inputs!$B$15)^4+Inputs!$B$11*12*(1+Inputs!$B$15)^4+E540*Inputs!$B$12</f>
        <v>40803.3588896859</v>
      </c>
      <c r="F605" s="34" t="n">
        <f aca="false">IF(5&gt;Inputs!$B$7,0,(-PMT(Inputs!$B$6/12,Inputs!$B$7*12,(Inputs!$B$4*(1-Inputs!$B$5)))*12))+F540*Inputs!$B$9+Inputs!$B$10*(1+Inputs!$B$15)^4+Inputs!$B$11*12*(1+Inputs!$B$15)^4+F540*Inputs!$B$12</f>
        <v>40803.3588896859</v>
      </c>
      <c r="G605" s="34" t="n">
        <f aca="false">IF(5&gt;Inputs!$B$7,0,(-PMT(Inputs!$B$6/12,Inputs!$B$7*12,(Inputs!$B$4*(1-Inputs!$B$5)))*12))+G540*Inputs!$B$9+Inputs!$B$10*(1+Inputs!$B$15)^4+Inputs!$B$11*12*(1+Inputs!$B$15)^4+G540*Inputs!$B$12</f>
        <v>40803.3588896859</v>
      </c>
      <c r="H605" s="34" t="n">
        <f aca="false">IF(5&gt;Inputs!$B$7,0,(-PMT(Inputs!$B$6/12,Inputs!$B$7*12,(Inputs!$B$4*(1-Inputs!$B$5)))*12))+H540*Inputs!$B$9+Inputs!$B$10*(1+Inputs!$B$15)^4+Inputs!$B$11*12*(1+Inputs!$B$15)^4+H540*Inputs!$B$12</f>
        <v>40803.3588896859</v>
      </c>
    </row>
    <row r="606" customFormat="false" ht="15" hidden="true" customHeight="true" outlineLevel="0" collapsed="false">
      <c r="B606" s="34" t="n">
        <f aca="false">IF(6&gt;Inputs!$B$7,0,(-PMT(Inputs!$B$6/12,Inputs!$B$7*12,(Inputs!$B$4*(1-Inputs!$B$5)))*12))+B541*Inputs!$B$9+Inputs!$B$10*(1+Inputs!$B$15)^5+Inputs!$B$11*12*(1+Inputs!$B$15)^5+B541*Inputs!$B$12</f>
        <v>41181.9046442796</v>
      </c>
      <c r="C606" s="34" t="n">
        <f aca="false">IF(6&gt;Inputs!$B$7,0,(-PMT(Inputs!$B$6/12,Inputs!$B$7*12,(Inputs!$B$4*(1-Inputs!$B$5)))*12))+C541*Inputs!$B$9+Inputs!$B$10*(1+Inputs!$B$15)^5+Inputs!$B$11*12*(1+Inputs!$B$15)^5+C541*Inputs!$B$12</f>
        <v>41181.9046442796</v>
      </c>
      <c r="D606" s="34" t="n">
        <f aca="false">IF(6&gt;Inputs!$B$7,0,(-PMT(Inputs!$B$6/12,Inputs!$B$7*12,(Inputs!$B$4*(1-Inputs!$B$5)))*12))+D541*Inputs!$B$9+Inputs!$B$10*(1+Inputs!$B$15)^5+Inputs!$B$11*12*(1+Inputs!$B$15)^5+D541*Inputs!$B$12</f>
        <v>41181.9046442796</v>
      </c>
      <c r="E606" s="34" t="n">
        <f aca="false">IF(6&gt;Inputs!$B$7,0,(-PMT(Inputs!$B$6/12,Inputs!$B$7*12,(Inputs!$B$4*(1-Inputs!$B$5)))*12))+E541*Inputs!$B$9+Inputs!$B$10*(1+Inputs!$B$15)^5+Inputs!$B$11*12*(1+Inputs!$B$15)^5+E541*Inputs!$B$12</f>
        <v>41181.9046442796</v>
      </c>
      <c r="F606" s="34" t="n">
        <f aca="false">IF(6&gt;Inputs!$B$7,0,(-PMT(Inputs!$B$6/12,Inputs!$B$7*12,(Inputs!$B$4*(1-Inputs!$B$5)))*12))+F541*Inputs!$B$9+Inputs!$B$10*(1+Inputs!$B$15)^5+Inputs!$B$11*12*(1+Inputs!$B$15)^5+F541*Inputs!$B$12</f>
        <v>41181.9046442796</v>
      </c>
      <c r="G606" s="34" t="n">
        <f aca="false">IF(6&gt;Inputs!$B$7,0,(-PMT(Inputs!$B$6/12,Inputs!$B$7*12,(Inputs!$B$4*(1-Inputs!$B$5)))*12))+G541*Inputs!$B$9+Inputs!$B$10*(1+Inputs!$B$15)^5+Inputs!$B$11*12*(1+Inputs!$B$15)^5+G541*Inputs!$B$12</f>
        <v>41181.9046442796</v>
      </c>
      <c r="H606" s="34" t="n">
        <f aca="false">IF(6&gt;Inputs!$B$7,0,(-PMT(Inputs!$B$6/12,Inputs!$B$7*12,(Inputs!$B$4*(1-Inputs!$B$5)))*12))+H541*Inputs!$B$9+Inputs!$B$10*(1+Inputs!$B$15)^5+Inputs!$B$11*12*(1+Inputs!$B$15)^5+H541*Inputs!$B$12</f>
        <v>41181.9046442796</v>
      </c>
    </row>
    <row r="607" customFormat="false" ht="15" hidden="true" customHeight="true" outlineLevel="0" collapsed="false">
      <c r="B607" s="34" t="n">
        <f aca="false">IF(7&gt;Inputs!$B$7,0,(-PMT(Inputs!$B$6/12,Inputs!$B$7*12,(Inputs!$B$4*(1-Inputs!$B$5)))*12))+B542*Inputs!$B$9+Inputs!$B$10*(1+Inputs!$B$15)^6+Inputs!$B$11*12*(1+Inputs!$B$15)^6+B542*Inputs!$B$12</f>
        <v>41571.8067715112</v>
      </c>
      <c r="C607" s="34" t="n">
        <f aca="false">IF(7&gt;Inputs!$B$7,0,(-PMT(Inputs!$B$6/12,Inputs!$B$7*12,(Inputs!$B$4*(1-Inputs!$B$5)))*12))+C542*Inputs!$B$9+Inputs!$B$10*(1+Inputs!$B$15)^6+Inputs!$B$11*12*(1+Inputs!$B$15)^6+C542*Inputs!$B$12</f>
        <v>41571.8067715112</v>
      </c>
      <c r="D607" s="34" t="n">
        <f aca="false">IF(7&gt;Inputs!$B$7,0,(-PMT(Inputs!$B$6/12,Inputs!$B$7*12,(Inputs!$B$4*(1-Inputs!$B$5)))*12))+D542*Inputs!$B$9+Inputs!$B$10*(1+Inputs!$B$15)^6+Inputs!$B$11*12*(1+Inputs!$B$15)^6+D542*Inputs!$B$12</f>
        <v>41571.8067715112</v>
      </c>
      <c r="E607" s="34" t="n">
        <f aca="false">IF(7&gt;Inputs!$B$7,0,(-PMT(Inputs!$B$6/12,Inputs!$B$7*12,(Inputs!$B$4*(1-Inputs!$B$5)))*12))+E542*Inputs!$B$9+Inputs!$B$10*(1+Inputs!$B$15)^6+Inputs!$B$11*12*(1+Inputs!$B$15)^6+E542*Inputs!$B$12</f>
        <v>41571.8067715112</v>
      </c>
      <c r="F607" s="34" t="n">
        <f aca="false">IF(7&gt;Inputs!$B$7,0,(-PMT(Inputs!$B$6/12,Inputs!$B$7*12,(Inputs!$B$4*(1-Inputs!$B$5)))*12))+F542*Inputs!$B$9+Inputs!$B$10*(1+Inputs!$B$15)^6+Inputs!$B$11*12*(1+Inputs!$B$15)^6+F542*Inputs!$B$12</f>
        <v>41571.8067715112</v>
      </c>
      <c r="G607" s="34" t="n">
        <f aca="false">IF(7&gt;Inputs!$B$7,0,(-PMT(Inputs!$B$6/12,Inputs!$B$7*12,(Inputs!$B$4*(1-Inputs!$B$5)))*12))+G542*Inputs!$B$9+Inputs!$B$10*(1+Inputs!$B$15)^6+Inputs!$B$11*12*(1+Inputs!$B$15)^6+G542*Inputs!$B$12</f>
        <v>41571.8067715112</v>
      </c>
      <c r="H607" s="34" t="n">
        <f aca="false">IF(7&gt;Inputs!$B$7,0,(-PMT(Inputs!$B$6/12,Inputs!$B$7*12,(Inputs!$B$4*(1-Inputs!$B$5)))*12))+H542*Inputs!$B$9+Inputs!$B$10*(1+Inputs!$B$15)^6+Inputs!$B$11*12*(1+Inputs!$B$15)^6+H542*Inputs!$B$12</f>
        <v>41571.8067715112</v>
      </c>
    </row>
    <row r="608" customFormat="false" ht="15" hidden="true" customHeight="true" outlineLevel="0" collapsed="false">
      <c r="B608" s="34" t="n">
        <f aca="false">IF(8&gt;Inputs!$B$7,0,(-PMT(Inputs!$B$6/12,Inputs!$B$7*12,(Inputs!$B$4*(1-Inputs!$B$5)))*12))+B543*Inputs!$B$9+Inputs!$B$10*(1+Inputs!$B$15)^7+Inputs!$B$11*12*(1+Inputs!$B$15)^7+B543*Inputs!$B$12</f>
        <v>41973.4059625597</v>
      </c>
      <c r="C608" s="34" t="n">
        <f aca="false">IF(8&gt;Inputs!$B$7,0,(-PMT(Inputs!$B$6/12,Inputs!$B$7*12,(Inputs!$B$4*(1-Inputs!$B$5)))*12))+C543*Inputs!$B$9+Inputs!$B$10*(1+Inputs!$B$15)^7+Inputs!$B$11*12*(1+Inputs!$B$15)^7+C543*Inputs!$B$12</f>
        <v>41973.4059625597</v>
      </c>
      <c r="D608" s="34" t="n">
        <f aca="false">IF(8&gt;Inputs!$B$7,0,(-PMT(Inputs!$B$6/12,Inputs!$B$7*12,(Inputs!$B$4*(1-Inputs!$B$5)))*12))+D543*Inputs!$B$9+Inputs!$B$10*(1+Inputs!$B$15)^7+Inputs!$B$11*12*(1+Inputs!$B$15)^7+D543*Inputs!$B$12</f>
        <v>41973.4059625597</v>
      </c>
      <c r="E608" s="34" t="n">
        <f aca="false">IF(8&gt;Inputs!$B$7,0,(-PMT(Inputs!$B$6/12,Inputs!$B$7*12,(Inputs!$B$4*(1-Inputs!$B$5)))*12))+E543*Inputs!$B$9+Inputs!$B$10*(1+Inputs!$B$15)^7+Inputs!$B$11*12*(1+Inputs!$B$15)^7+E543*Inputs!$B$12</f>
        <v>41973.4059625597</v>
      </c>
      <c r="F608" s="34" t="n">
        <f aca="false">IF(8&gt;Inputs!$B$7,0,(-PMT(Inputs!$B$6/12,Inputs!$B$7*12,(Inputs!$B$4*(1-Inputs!$B$5)))*12))+F543*Inputs!$B$9+Inputs!$B$10*(1+Inputs!$B$15)^7+Inputs!$B$11*12*(1+Inputs!$B$15)^7+F543*Inputs!$B$12</f>
        <v>41973.4059625597</v>
      </c>
      <c r="G608" s="34" t="n">
        <f aca="false">IF(8&gt;Inputs!$B$7,0,(-PMT(Inputs!$B$6/12,Inputs!$B$7*12,(Inputs!$B$4*(1-Inputs!$B$5)))*12))+G543*Inputs!$B$9+Inputs!$B$10*(1+Inputs!$B$15)^7+Inputs!$B$11*12*(1+Inputs!$B$15)^7+G543*Inputs!$B$12</f>
        <v>41973.4059625597</v>
      </c>
      <c r="H608" s="34" t="n">
        <f aca="false">IF(8&gt;Inputs!$B$7,0,(-PMT(Inputs!$B$6/12,Inputs!$B$7*12,(Inputs!$B$4*(1-Inputs!$B$5)))*12))+H543*Inputs!$B$9+Inputs!$B$10*(1+Inputs!$B$15)^7+Inputs!$B$11*12*(1+Inputs!$B$15)^7+H543*Inputs!$B$12</f>
        <v>41973.4059625597</v>
      </c>
    </row>
    <row r="609" customFormat="false" ht="15" hidden="true" customHeight="true" outlineLevel="0" collapsed="false">
      <c r="B609" s="34" t="n">
        <f aca="false">IF(9&gt;Inputs!$B$7,0,(-PMT(Inputs!$B$6/12,Inputs!$B$7*12,(Inputs!$B$4*(1-Inputs!$B$5)))*12))+B544*Inputs!$B$9+Inputs!$B$10*(1+Inputs!$B$15)^8+Inputs!$B$11*12*(1+Inputs!$B$15)^8+B544*Inputs!$B$12</f>
        <v>42387.0531293396</v>
      </c>
      <c r="C609" s="34" t="n">
        <f aca="false">IF(9&gt;Inputs!$B$7,0,(-PMT(Inputs!$B$6/12,Inputs!$B$7*12,(Inputs!$B$4*(1-Inputs!$B$5)))*12))+C544*Inputs!$B$9+Inputs!$B$10*(1+Inputs!$B$15)^8+Inputs!$B$11*12*(1+Inputs!$B$15)^8+C544*Inputs!$B$12</f>
        <v>42387.0531293396</v>
      </c>
      <c r="D609" s="34" t="n">
        <f aca="false">IF(9&gt;Inputs!$B$7,0,(-PMT(Inputs!$B$6/12,Inputs!$B$7*12,(Inputs!$B$4*(1-Inputs!$B$5)))*12))+D544*Inputs!$B$9+Inputs!$B$10*(1+Inputs!$B$15)^8+Inputs!$B$11*12*(1+Inputs!$B$15)^8+D544*Inputs!$B$12</f>
        <v>42387.0531293396</v>
      </c>
      <c r="E609" s="34" t="n">
        <f aca="false">IF(9&gt;Inputs!$B$7,0,(-PMT(Inputs!$B$6/12,Inputs!$B$7*12,(Inputs!$B$4*(1-Inputs!$B$5)))*12))+E544*Inputs!$B$9+Inputs!$B$10*(1+Inputs!$B$15)^8+Inputs!$B$11*12*(1+Inputs!$B$15)^8+E544*Inputs!$B$12</f>
        <v>42387.0531293396</v>
      </c>
      <c r="F609" s="34" t="n">
        <f aca="false">IF(9&gt;Inputs!$B$7,0,(-PMT(Inputs!$B$6/12,Inputs!$B$7*12,(Inputs!$B$4*(1-Inputs!$B$5)))*12))+F544*Inputs!$B$9+Inputs!$B$10*(1+Inputs!$B$15)^8+Inputs!$B$11*12*(1+Inputs!$B$15)^8+F544*Inputs!$B$12</f>
        <v>42387.0531293396</v>
      </c>
      <c r="G609" s="34" t="n">
        <f aca="false">IF(9&gt;Inputs!$B$7,0,(-PMT(Inputs!$B$6/12,Inputs!$B$7*12,(Inputs!$B$4*(1-Inputs!$B$5)))*12))+G544*Inputs!$B$9+Inputs!$B$10*(1+Inputs!$B$15)^8+Inputs!$B$11*12*(1+Inputs!$B$15)^8+G544*Inputs!$B$12</f>
        <v>42387.0531293396</v>
      </c>
      <c r="H609" s="34" t="n">
        <f aca="false">IF(9&gt;Inputs!$B$7,0,(-PMT(Inputs!$B$6/12,Inputs!$B$7*12,(Inputs!$B$4*(1-Inputs!$B$5)))*12))+H544*Inputs!$B$9+Inputs!$B$10*(1+Inputs!$B$15)^8+Inputs!$B$11*12*(1+Inputs!$B$15)^8+H544*Inputs!$B$12</f>
        <v>42387.0531293396</v>
      </c>
    </row>
    <row r="610" customFormat="false" ht="15" hidden="true" customHeight="true" outlineLevel="0" collapsed="false">
      <c r="B610" s="34" t="n">
        <f aca="false">IF(10&gt;Inputs!$B$7,0,(-PMT(Inputs!$B$6/12,Inputs!$B$7*12,(Inputs!$B$4*(1-Inputs!$B$5)))*12))+B545*Inputs!$B$9+Inputs!$B$10*(1+Inputs!$B$15)^9+Inputs!$B$11*12*(1+Inputs!$B$15)^9+B545*Inputs!$B$12</f>
        <v>42813.109711123</v>
      </c>
      <c r="C610" s="34" t="n">
        <f aca="false">IF(10&gt;Inputs!$B$7,0,(-PMT(Inputs!$B$6/12,Inputs!$B$7*12,(Inputs!$B$4*(1-Inputs!$B$5)))*12))+C545*Inputs!$B$9+Inputs!$B$10*(1+Inputs!$B$15)^9+Inputs!$B$11*12*(1+Inputs!$B$15)^9+C545*Inputs!$B$12</f>
        <v>42813.109711123</v>
      </c>
      <c r="D610" s="34" t="n">
        <f aca="false">IF(10&gt;Inputs!$B$7,0,(-PMT(Inputs!$B$6/12,Inputs!$B$7*12,(Inputs!$B$4*(1-Inputs!$B$5)))*12))+D545*Inputs!$B$9+Inputs!$B$10*(1+Inputs!$B$15)^9+Inputs!$B$11*12*(1+Inputs!$B$15)^9+D545*Inputs!$B$12</f>
        <v>42813.109711123</v>
      </c>
      <c r="E610" s="34" t="n">
        <f aca="false">IF(10&gt;Inputs!$B$7,0,(-PMT(Inputs!$B$6/12,Inputs!$B$7*12,(Inputs!$B$4*(1-Inputs!$B$5)))*12))+E545*Inputs!$B$9+Inputs!$B$10*(1+Inputs!$B$15)^9+Inputs!$B$11*12*(1+Inputs!$B$15)^9+E545*Inputs!$B$12</f>
        <v>42813.109711123</v>
      </c>
      <c r="F610" s="34" t="n">
        <f aca="false">IF(10&gt;Inputs!$B$7,0,(-PMT(Inputs!$B$6/12,Inputs!$B$7*12,(Inputs!$B$4*(1-Inputs!$B$5)))*12))+F545*Inputs!$B$9+Inputs!$B$10*(1+Inputs!$B$15)^9+Inputs!$B$11*12*(1+Inputs!$B$15)^9+F545*Inputs!$B$12</f>
        <v>42813.109711123</v>
      </c>
      <c r="G610" s="34" t="n">
        <f aca="false">IF(10&gt;Inputs!$B$7,0,(-PMT(Inputs!$B$6/12,Inputs!$B$7*12,(Inputs!$B$4*(1-Inputs!$B$5)))*12))+G545*Inputs!$B$9+Inputs!$B$10*(1+Inputs!$B$15)^9+Inputs!$B$11*12*(1+Inputs!$B$15)^9+G545*Inputs!$B$12</f>
        <v>42813.109711123</v>
      </c>
      <c r="H610" s="34" t="n">
        <f aca="false">IF(10&gt;Inputs!$B$7,0,(-PMT(Inputs!$B$6/12,Inputs!$B$7*12,(Inputs!$B$4*(1-Inputs!$B$5)))*12))+H545*Inputs!$B$9+Inputs!$B$10*(1+Inputs!$B$15)^9+Inputs!$B$11*12*(1+Inputs!$B$15)^9+H545*Inputs!$B$12</f>
        <v>42813.109711123</v>
      </c>
    </row>
    <row r="611" customFormat="false" ht="15" hidden="true" customHeight="true" outlineLevel="0" collapsed="false">
      <c r="B611" s="34" t="n">
        <f aca="false">IF(11&gt;Inputs!$B$7,0,(-PMT(Inputs!$B$6/12,Inputs!$B$7*12,(Inputs!$B$4*(1-Inputs!$B$5)))*12))+B546*Inputs!$B$9+Inputs!$B$10*(1+Inputs!$B$15)^10+Inputs!$B$11*12*(1+Inputs!$B$15)^10+B546*Inputs!$B$12</f>
        <v>43251.9479903598</v>
      </c>
      <c r="C611" s="34" t="n">
        <f aca="false">IF(11&gt;Inputs!$B$7,0,(-PMT(Inputs!$B$6/12,Inputs!$B$7*12,(Inputs!$B$4*(1-Inputs!$B$5)))*12))+C546*Inputs!$B$9+Inputs!$B$10*(1+Inputs!$B$15)^10+Inputs!$B$11*12*(1+Inputs!$B$15)^10+C546*Inputs!$B$12</f>
        <v>43251.9479903598</v>
      </c>
      <c r="D611" s="34" t="n">
        <f aca="false">IF(11&gt;Inputs!$B$7,0,(-PMT(Inputs!$B$6/12,Inputs!$B$7*12,(Inputs!$B$4*(1-Inputs!$B$5)))*12))+D546*Inputs!$B$9+Inputs!$B$10*(1+Inputs!$B$15)^10+Inputs!$B$11*12*(1+Inputs!$B$15)^10+D546*Inputs!$B$12</f>
        <v>43251.9479903598</v>
      </c>
      <c r="E611" s="34" t="n">
        <f aca="false">IF(11&gt;Inputs!$B$7,0,(-PMT(Inputs!$B$6/12,Inputs!$B$7*12,(Inputs!$B$4*(1-Inputs!$B$5)))*12))+E546*Inputs!$B$9+Inputs!$B$10*(1+Inputs!$B$15)^10+Inputs!$B$11*12*(1+Inputs!$B$15)^10+E546*Inputs!$B$12</f>
        <v>43251.9479903598</v>
      </c>
      <c r="F611" s="34" t="n">
        <f aca="false">IF(11&gt;Inputs!$B$7,0,(-PMT(Inputs!$B$6/12,Inputs!$B$7*12,(Inputs!$B$4*(1-Inputs!$B$5)))*12))+F546*Inputs!$B$9+Inputs!$B$10*(1+Inputs!$B$15)^10+Inputs!$B$11*12*(1+Inputs!$B$15)^10+F546*Inputs!$B$12</f>
        <v>43251.9479903598</v>
      </c>
      <c r="G611" s="34" t="n">
        <f aca="false">IF(11&gt;Inputs!$B$7,0,(-PMT(Inputs!$B$6/12,Inputs!$B$7*12,(Inputs!$B$4*(1-Inputs!$B$5)))*12))+G546*Inputs!$B$9+Inputs!$B$10*(1+Inputs!$B$15)^10+Inputs!$B$11*12*(1+Inputs!$B$15)^10+G546*Inputs!$B$12</f>
        <v>43251.9479903598</v>
      </c>
      <c r="H611" s="34" t="n">
        <f aca="false">IF(11&gt;Inputs!$B$7,0,(-PMT(Inputs!$B$6/12,Inputs!$B$7*12,(Inputs!$B$4*(1-Inputs!$B$5)))*12))+H546*Inputs!$B$9+Inputs!$B$10*(1+Inputs!$B$15)^10+Inputs!$B$11*12*(1+Inputs!$B$15)^10+H546*Inputs!$B$12</f>
        <v>43251.9479903598</v>
      </c>
    </row>
    <row r="612" customFormat="false" ht="15" hidden="true" customHeight="true" outlineLevel="0" collapsed="false">
      <c r="B612" s="34" t="n">
        <f aca="false">IF(12&gt;Inputs!$B$7,0,(-PMT(Inputs!$B$6/12,Inputs!$B$7*12,(Inputs!$B$4*(1-Inputs!$B$5)))*12))+B547*Inputs!$B$9+Inputs!$B$10*(1+Inputs!$B$15)^11+Inputs!$B$11*12*(1+Inputs!$B$15)^11+B547*Inputs!$B$12</f>
        <v>43703.9514179737</v>
      </c>
      <c r="C612" s="34" t="n">
        <f aca="false">IF(12&gt;Inputs!$B$7,0,(-PMT(Inputs!$B$6/12,Inputs!$B$7*12,(Inputs!$B$4*(1-Inputs!$B$5)))*12))+C547*Inputs!$B$9+Inputs!$B$10*(1+Inputs!$B$15)^11+Inputs!$B$11*12*(1+Inputs!$B$15)^11+C547*Inputs!$B$12</f>
        <v>43703.9514179737</v>
      </c>
      <c r="D612" s="34" t="n">
        <f aca="false">IF(12&gt;Inputs!$B$7,0,(-PMT(Inputs!$B$6/12,Inputs!$B$7*12,(Inputs!$B$4*(1-Inputs!$B$5)))*12))+D547*Inputs!$B$9+Inputs!$B$10*(1+Inputs!$B$15)^11+Inputs!$B$11*12*(1+Inputs!$B$15)^11+D547*Inputs!$B$12</f>
        <v>43703.9514179737</v>
      </c>
      <c r="E612" s="34" t="n">
        <f aca="false">IF(12&gt;Inputs!$B$7,0,(-PMT(Inputs!$B$6/12,Inputs!$B$7*12,(Inputs!$B$4*(1-Inputs!$B$5)))*12))+E547*Inputs!$B$9+Inputs!$B$10*(1+Inputs!$B$15)^11+Inputs!$B$11*12*(1+Inputs!$B$15)^11+E547*Inputs!$B$12</f>
        <v>43703.9514179737</v>
      </c>
      <c r="F612" s="34" t="n">
        <f aca="false">IF(12&gt;Inputs!$B$7,0,(-PMT(Inputs!$B$6/12,Inputs!$B$7*12,(Inputs!$B$4*(1-Inputs!$B$5)))*12))+F547*Inputs!$B$9+Inputs!$B$10*(1+Inputs!$B$15)^11+Inputs!$B$11*12*(1+Inputs!$B$15)^11+F547*Inputs!$B$12</f>
        <v>43703.9514179737</v>
      </c>
      <c r="G612" s="34" t="n">
        <f aca="false">IF(12&gt;Inputs!$B$7,0,(-PMT(Inputs!$B$6/12,Inputs!$B$7*12,(Inputs!$B$4*(1-Inputs!$B$5)))*12))+G547*Inputs!$B$9+Inputs!$B$10*(1+Inputs!$B$15)^11+Inputs!$B$11*12*(1+Inputs!$B$15)^11+G547*Inputs!$B$12</f>
        <v>43703.9514179737</v>
      </c>
      <c r="H612" s="34" t="n">
        <f aca="false">IF(12&gt;Inputs!$B$7,0,(-PMT(Inputs!$B$6/12,Inputs!$B$7*12,(Inputs!$B$4*(1-Inputs!$B$5)))*12))+H547*Inputs!$B$9+Inputs!$B$10*(1+Inputs!$B$15)^11+Inputs!$B$11*12*(1+Inputs!$B$15)^11+H547*Inputs!$B$12</f>
        <v>43703.9514179737</v>
      </c>
    </row>
    <row r="613" customFormat="false" ht="15" hidden="true" customHeight="true" outlineLevel="0" collapsed="false">
      <c r="B613" s="34" t="n">
        <f aca="false">IF(13&gt;Inputs!$B$7,0,(-PMT(Inputs!$B$6/12,Inputs!$B$7*12,(Inputs!$B$4*(1-Inputs!$B$5)))*12))+B548*Inputs!$B$9+Inputs!$B$10*(1+Inputs!$B$15)^12+Inputs!$B$11*12*(1+Inputs!$B$15)^12+B548*Inputs!$B$12</f>
        <v>44169.5149484161</v>
      </c>
      <c r="C613" s="34" t="n">
        <f aca="false">IF(13&gt;Inputs!$B$7,0,(-PMT(Inputs!$B$6/12,Inputs!$B$7*12,(Inputs!$B$4*(1-Inputs!$B$5)))*12))+C548*Inputs!$B$9+Inputs!$B$10*(1+Inputs!$B$15)^12+Inputs!$B$11*12*(1+Inputs!$B$15)^12+C548*Inputs!$B$12</f>
        <v>44169.5149484161</v>
      </c>
      <c r="D613" s="34" t="n">
        <f aca="false">IF(13&gt;Inputs!$B$7,0,(-PMT(Inputs!$B$6/12,Inputs!$B$7*12,(Inputs!$B$4*(1-Inputs!$B$5)))*12))+D548*Inputs!$B$9+Inputs!$B$10*(1+Inputs!$B$15)^12+Inputs!$B$11*12*(1+Inputs!$B$15)^12+D548*Inputs!$B$12</f>
        <v>44169.5149484161</v>
      </c>
      <c r="E613" s="34" t="n">
        <f aca="false">IF(13&gt;Inputs!$B$7,0,(-PMT(Inputs!$B$6/12,Inputs!$B$7*12,(Inputs!$B$4*(1-Inputs!$B$5)))*12))+E548*Inputs!$B$9+Inputs!$B$10*(1+Inputs!$B$15)^12+Inputs!$B$11*12*(1+Inputs!$B$15)^12+E548*Inputs!$B$12</f>
        <v>44169.5149484161</v>
      </c>
      <c r="F613" s="34" t="n">
        <f aca="false">IF(13&gt;Inputs!$B$7,0,(-PMT(Inputs!$B$6/12,Inputs!$B$7*12,(Inputs!$B$4*(1-Inputs!$B$5)))*12))+F548*Inputs!$B$9+Inputs!$B$10*(1+Inputs!$B$15)^12+Inputs!$B$11*12*(1+Inputs!$B$15)^12+F548*Inputs!$B$12</f>
        <v>44169.5149484161</v>
      </c>
      <c r="G613" s="34" t="n">
        <f aca="false">IF(13&gt;Inputs!$B$7,0,(-PMT(Inputs!$B$6/12,Inputs!$B$7*12,(Inputs!$B$4*(1-Inputs!$B$5)))*12))+G548*Inputs!$B$9+Inputs!$B$10*(1+Inputs!$B$15)^12+Inputs!$B$11*12*(1+Inputs!$B$15)^12+G548*Inputs!$B$12</f>
        <v>44169.5149484161</v>
      </c>
      <c r="H613" s="34" t="n">
        <f aca="false">IF(13&gt;Inputs!$B$7,0,(-PMT(Inputs!$B$6/12,Inputs!$B$7*12,(Inputs!$B$4*(1-Inputs!$B$5)))*12))+H548*Inputs!$B$9+Inputs!$B$10*(1+Inputs!$B$15)^12+Inputs!$B$11*12*(1+Inputs!$B$15)^12+H548*Inputs!$B$12</f>
        <v>44169.5149484161</v>
      </c>
    </row>
    <row r="614" customFormat="false" ht="15" hidden="true" customHeight="true" outlineLevel="0" collapsed="false">
      <c r="B614" s="34" t="n">
        <f aca="false">IF(14&gt;Inputs!$B$7,0,(-PMT(Inputs!$B$6/12,Inputs!$B$7*12,(Inputs!$B$4*(1-Inputs!$B$5)))*12))+B549*Inputs!$B$9+Inputs!$B$10*(1+Inputs!$B$15)^13+Inputs!$B$11*12*(1+Inputs!$B$15)^13+B549*Inputs!$B$12</f>
        <v>44649.0453847717</v>
      </c>
      <c r="C614" s="34" t="n">
        <f aca="false">IF(14&gt;Inputs!$B$7,0,(-PMT(Inputs!$B$6/12,Inputs!$B$7*12,(Inputs!$B$4*(1-Inputs!$B$5)))*12))+C549*Inputs!$B$9+Inputs!$B$10*(1+Inputs!$B$15)^13+Inputs!$B$11*12*(1+Inputs!$B$15)^13+C549*Inputs!$B$12</f>
        <v>44649.0453847717</v>
      </c>
      <c r="D614" s="34" t="n">
        <f aca="false">IF(14&gt;Inputs!$B$7,0,(-PMT(Inputs!$B$6/12,Inputs!$B$7*12,(Inputs!$B$4*(1-Inputs!$B$5)))*12))+D549*Inputs!$B$9+Inputs!$B$10*(1+Inputs!$B$15)^13+Inputs!$B$11*12*(1+Inputs!$B$15)^13+D549*Inputs!$B$12</f>
        <v>44649.0453847717</v>
      </c>
      <c r="E614" s="34" t="n">
        <f aca="false">IF(14&gt;Inputs!$B$7,0,(-PMT(Inputs!$B$6/12,Inputs!$B$7*12,(Inputs!$B$4*(1-Inputs!$B$5)))*12))+E549*Inputs!$B$9+Inputs!$B$10*(1+Inputs!$B$15)^13+Inputs!$B$11*12*(1+Inputs!$B$15)^13+E549*Inputs!$B$12</f>
        <v>44649.0453847717</v>
      </c>
      <c r="F614" s="34" t="n">
        <f aca="false">IF(14&gt;Inputs!$B$7,0,(-PMT(Inputs!$B$6/12,Inputs!$B$7*12,(Inputs!$B$4*(1-Inputs!$B$5)))*12))+F549*Inputs!$B$9+Inputs!$B$10*(1+Inputs!$B$15)^13+Inputs!$B$11*12*(1+Inputs!$B$15)^13+F549*Inputs!$B$12</f>
        <v>44649.0453847717</v>
      </c>
      <c r="G614" s="34" t="n">
        <f aca="false">IF(14&gt;Inputs!$B$7,0,(-PMT(Inputs!$B$6/12,Inputs!$B$7*12,(Inputs!$B$4*(1-Inputs!$B$5)))*12))+G549*Inputs!$B$9+Inputs!$B$10*(1+Inputs!$B$15)^13+Inputs!$B$11*12*(1+Inputs!$B$15)^13+G549*Inputs!$B$12</f>
        <v>44649.0453847717</v>
      </c>
      <c r="H614" s="34" t="n">
        <f aca="false">IF(14&gt;Inputs!$B$7,0,(-PMT(Inputs!$B$6/12,Inputs!$B$7*12,(Inputs!$B$4*(1-Inputs!$B$5)))*12))+H549*Inputs!$B$9+Inputs!$B$10*(1+Inputs!$B$15)^13+Inputs!$B$11*12*(1+Inputs!$B$15)^13+H549*Inputs!$B$12</f>
        <v>44649.0453847717</v>
      </c>
    </row>
    <row r="615" customFormat="false" ht="15" hidden="true" customHeight="true" outlineLevel="0" collapsed="false">
      <c r="B615" s="34" t="n">
        <f aca="false">IF(15&gt;Inputs!$B$7,0,(-PMT(Inputs!$B$6/12,Inputs!$B$7*12,(Inputs!$B$4*(1-Inputs!$B$5)))*12))+B550*Inputs!$B$9+Inputs!$B$10*(1+Inputs!$B$15)^14+Inputs!$B$11*12*(1+Inputs!$B$15)^14+B550*Inputs!$B$12</f>
        <v>45142.961734218</v>
      </c>
      <c r="C615" s="34" t="n">
        <f aca="false">IF(15&gt;Inputs!$B$7,0,(-PMT(Inputs!$B$6/12,Inputs!$B$7*12,(Inputs!$B$4*(1-Inputs!$B$5)))*12))+C550*Inputs!$B$9+Inputs!$B$10*(1+Inputs!$B$15)^14+Inputs!$B$11*12*(1+Inputs!$B$15)^14+C550*Inputs!$B$12</f>
        <v>45142.961734218</v>
      </c>
      <c r="D615" s="34" t="n">
        <f aca="false">IF(15&gt;Inputs!$B$7,0,(-PMT(Inputs!$B$6/12,Inputs!$B$7*12,(Inputs!$B$4*(1-Inputs!$B$5)))*12))+D550*Inputs!$B$9+Inputs!$B$10*(1+Inputs!$B$15)^14+Inputs!$B$11*12*(1+Inputs!$B$15)^14+D550*Inputs!$B$12</f>
        <v>45142.961734218</v>
      </c>
      <c r="E615" s="34" t="n">
        <f aca="false">IF(15&gt;Inputs!$B$7,0,(-PMT(Inputs!$B$6/12,Inputs!$B$7*12,(Inputs!$B$4*(1-Inputs!$B$5)))*12))+E550*Inputs!$B$9+Inputs!$B$10*(1+Inputs!$B$15)^14+Inputs!$B$11*12*(1+Inputs!$B$15)^14+E550*Inputs!$B$12</f>
        <v>45142.961734218</v>
      </c>
      <c r="F615" s="34" t="n">
        <f aca="false">IF(15&gt;Inputs!$B$7,0,(-PMT(Inputs!$B$6/12,Inputs!$B$7*12,(Inputs!$B$4*(1-Inputs!$B$5)))*12))+F550*Inputs!$B$9+Inputs!$B$10*(1+Inputs!$B$15)^14+Inputs!$B$11*12*(1+Inputs!$B$15)^14+F550*Inputs!$B$12</f>
        <v>45142.961734218</v>
      </c>
      <c r="G615" s="34" t="n">
        <f aca="false">IF(15&gt;Inputs!$B$7,0,(-PMT(Inputs!$B$6/12,Inputs!$B$7*12,(Inputs!$B$4*(1-Inputs!$B$5)))*12))+G550*Inputs!$B$9+Inputs!$B$10*(1+Inputs!$B$15)^14+Inputs!$B$11*12*(1+Inputs!$B$15)^14+G550*Inputs!$B$12</f>
        <v>45142.961734218</v>
      </c>
      <c r="H615" s="34" t="n">
        <f aca="false">IF(15&gt;Inputs!$B$7,0,(-PMT(Inputs!$B$6/12,Inputs!$B$7*12,(Inputs!$B$4*(1-Inputs!$B$5)))*12))+H550*Inputs!$B$9+Inputs!$B$10*(1+Inputs!$B$15)^14+Inputs!$B$11*12*(1+Inputs!$B$15)^14+H550*Inputs!$B$12</f>
        <v>45142.961734218</v>
      </c>
    </row>
    <row r="616" customFormat="false" ht="15" hidden="true" customHeight="true" outlineLevel="0" collapsed="false">
      <c r="B616" s="34" t="n">
        <f aca="false">IF(16&gt;Inputs!$B$7,0,(-PMT(Inputs!$B$6/12,Inputs!$B$7*12,(Inputs!$B$4*(1-Inputs!$B$5)))*12))+B551*Inputs!$B$9+Inputs!$B$10*(1+Inputs!$B$15)^15+Inputs!$B$11*12*(1+Inputs!$B$15)^15+B551*Inputs!$B$12</f>
        <v>45651.6955741477</v>
      </c>
      <c r="C616" s="34" t="n">
        <f aca="false">IF(16&gt;Inputs!$B$7,0,(-PMT(Inputs!$B$6/12,Inputs!$B$7*12,(Inputs!$B$4*(1-Inputs!$B$5)))*12))+C551*Inputs!$B$9+Inputs!$B$10*(1+Inputs!$B$15)^15+Inputs!$B$11*12*(1+Inputs!$B$15)^15+C551*Inputs!$B$12</f>
        <v>45651.6955741477</v>
      </c>
      <c r="D616" s="34" t="n">
        <f aca="false">IF(16&gt;Inputs!$B$7,0,(-PMT(Inputs!$B$6/12,Inputs!$B$7*12,(Inputs!$B$4*(1-Inputs!$B$5)))*12))+D551*Inputs!$B$9+Inputs!$B$10*(1+Inputs!$B$15)^15+Inputs!$B$11*12*(1+Inputs!$B$15)^15+D551*Inputs!$B$12</f>
        <v>45651.6955741477</v>
      </c>
      <c r="E616" s="34" t="n">
        <f aca="false">IF(16&gt;Inputs!$B$7,0,(-PMT(Inputs!$B$6/12,Inputs!$B$7*12,(Inputs!$B$4*(1-Inputs!$B$5)))*12))+E551*Inputs!$B$9+Inputs!$B$10*(1+Inputs!$B$15)^15+Inputs!$B$11*12*(1+Inputs!$B$15)^15+E551*Inputs!$B$12</f>
        <v>45651.6955741477</v>
      </c>
      <c r="F616" s="34" t="n">
        <f aca="false">IF(16&gt;Inputs!$B$7,0,(-PMT(Inputs!$B$6/12,Inputs!$B$7*12,(Inputs!$B$4*(1-Inputs!$B$5)))*12))+F551*Inputs!$B$9+Inputs!$B$10*(1+Inputs!$B$15)^15+Inputs!$B$11*12*(1+Inputs!$B$15)^15+F551*Inputs!$B$12</f>
        <v>45651.6955741477</v>
      </c>
      <c r="G616" s="34" t="n">
        <f aca="false">IF(16&gt;Inputs!$B$7,0,(-PMT(Inputs!$B$6/12,Inputs!$B$7*12,(Inputs!$B$4*(1-Inputs!$B$5)))*12))+G551*Inputs!$B$9+Inputs!$B$10*(1+Inputs!$B$15)^15+Inputs!$B$11*12*(1+Inputs!$B$15)^15+G551*Inputs!$B$12</f>
        <v>45651.6955741477</v>
      </c>
      <c r="H616" s="34" t="n">
        <f aca="false">IF(16&gt;Inputs!$B$7,0,(-PMT(Inputs!$B$6/12,Inputs!$B$7*12,(Inputs!$B$4*(1-Inputs!$B$5)))*12))+H551*Inputs!$B$9+Inputs!$B$10*(1+Inputs!$B$15)^15+Inputs!$B$11*12*(1+Inputs!$B$15)^15+H551*Inputs!$B$12</f>
        <v>45651.6955741477</v>
      </c>
    </row>
    <row r="617" customFormat="false" ht="15" hidden="true" customHeight="true" outlineLevel="0" collapsed="false">
      <c r="B617" s="34" t="n">
        <f aca="false">IF(17&gt;Inputs!$B$7,0,(-PMT(Inputs!$B$6/12,Inputs!$B$7*12,(Inputs!$B$4*(1-Inputs!$B$5)))*12))+B552*Inputs!$B$9+Inputs!$B$10*(1+Inputs!$B$15)^16+Inputs!$B$11*12*(1+Inputs!$B$15)^16+B552*Inputs!$B$12</f>
        <v>46175.6914292753</v>
      </c>
      <c r="C617" s="34" t="n">
        <f aca="false">IF(17&gt;Inputs!$B$7,0,(-PMT(Inputs!$B$6/12,Inputs!$B$7*12,(Inputs!$B$4*(1-Inputs!$B$5)))*12))+C552*Inputs!$B$9+Inputs!$B$10*(1+Inputs!$B$15)^16+Inputs!$B$11*12*(1+Inputs!$B$15)^16+C552*Inputs!$B$12</f>
        <v>46175.6914292753</v>
      </c>
      <c r="D617" s="34" t="n">
        <f aca="false">IF(17&gt;Inputs!$B$7,0,(-PMT(Inputs!$B$6/12,Inputs!$B$7*12,(Inputs!$B$4*(1-Inputs!$B$5)))*12))+D552*Inputs!$B$9+Inputs!$B$10*(1+Inputs!$B$15)^16+Inputs!$B$11*12*(1+Inputs!$B$15)^16+D552*Inputs!$B$12</f>
        <v>46175.6914292753</v>
      </c>
      <c r="E617" s="34" t="n">
        <f aca="false">IF(17&gt;Inputs!$B$7,0,(-PMT(Inputs!$B$6/12,Inputs!$B$7*12,(Inputs!$B$4*(1-Inputs!$B$5)))*12))+E552*Inputs!$B$9+Inputs!$B$10*(1+Inputs!$B$15)^16+Inputs!$B$11*12*(1+Inputs!$B$15)^16+E552*Inputs!$B$12</f>
        <v>46175.6914292753</v>
      </c>
      <c r="F617" s="34" t="n">
        <f aca="false">IF(17&gt;Inputs!$B$7,0,(-PMT(Inputs!$B$6/12,Inputs!$B$7*12,(Inputs!$B$4*(1-Inputs!$B$5)))*12))+F552*Inputs!$B$9+Inputs!$B$10*(1+Inputs!$B$15)^16+Inputs!$B$11*12*(1+Inputs!$B$15)^16+F552*Inputs!$B$12</f>
        <v>46175.6914292753</v>
      </c>
      <c r="G617" s="34" t="n">
        <f aca="false">IF(17&gt;Inputs!$B$7,0,(-PMT(Inputs!$B$6/12,Inputs!$B$7*12,(Inputs!$B$4*(1-Inputs!$B$5)))*12))+G552*Inputs!$B$9+Inputs!$B$10*(1+Inputs!$B$15)^16+Inputs!$B$11*12*(1+Inputs!$B$15)^16+G552*Inputs!$B$12</f>
        <v>46175.6914292753</v>
      </c>
      <c r="H617" s="34" t="n">
        <f aca="false">IF(17&gt;Inputs!$B$7,0,(-PMT(Inputs!$B$6/12,Inputs!$B$7*12,(Inputs!$B$4*(1-Inputs!$B$5)))*12))+H552*Inputs!$B$9+Inputs!$B$10*(1+Inputs!$B$15)^16+Inputs!$B$11*12*(1+Inputs!$B$15)^16+H552*Inputs!$B$12</f>
        <v>46175.6914292753</v>
      </c>
    </row>
    <row r="618" customFormat="false" ht="15" hidden="true" customHeight="true" outlineLevel="0" collapsed="false">
      <c r="B618" s="34" t="n">
        <f aca="false">IF(18&gt;Inputs!$B$7,0,(-PMT(Inputs!$B$6/12,Inputs!$B$7*12,(Inputs!$B$4*(1-Inputs!$B$5)))*12))+B553*Inputs!$B$9+Inputs!$B$10*(1+Inputs!$B$15)^17+Inputs!$B$11*12*(1+Inputs!$B$15)^17+B553*Inputs!$B$12</f>
        <v>46715.4071600567</v>
      </c>
      <c r="C618" s="34" t="n">
        <f aca="false">IF(18&gt;Inputs!$B$7,0,(-PMT(Inputs!$B$6/12,Inputs!$B$7*12,(Inputs!$B$4*(1-Inputs!$B$5)))*12))+C553*Inputs!$B$9+Inputs!$B$10*(1+Inputs!$B$15)^17+Inputs!$B$11*12*(1+Inputs!$B$15)^17+C553*Inputs!$B$12</f>
        <v>46715.4071600567</v>
      </c>
      <c r="D618" s="34" t="n">
        <f aca="false">IF(18&gt;Inputs!$B$7,0,(-PMT(Inputs!$B$6/12,Inputs!$B$7*12,(Inputs!$B$4*(1-Inputs!$B$5)))*12))+D553*Inputs!$B$9+Inputs!$B$10*(1+Inputs!$B$15)^17+Inputs!$B$11*12*(1+Inputs!$B$15)^17+D553*Inputs!$B$12</f>
        <v>46715.4071600567</v>
      </c>
      <c r="E618" s="34" t="n">
        <f aca="false">IF(18&gt;Inputs!$B$7,0,(-PMT(Inputs!$B$6/12,Inputs!$B$7*12,(Inputs!$B$4*(1-Inputs!$B$5)))*12))+E553*Inputs!$B$9+Inputs!$B$10*(1+Inputs!$B$15)^17+Inputs!$B$11*12*(1+Inputs!$B$15)^17+E553*Inputs!$B$12</f>
        <v>46715.4071600567</v>
      </c>
      <c r="F618" s="34" t="n">
        <f aca="false">IF(18&gt;Inputs!$B$7,0,(-PMT(Inputs!$B$6/12,Inputs!$B$7*12,(Inputs!$B$4*(1-Inputs!$B$5)))*12))+F553*Inputs!$B$9+Inputs!$B$10*(1+Inputs!$B$15)^17+Inputs!$B$11*12*(1+Inputs!$B$15)^17+F553*Inputs!$B$12</f>
        <v>46715.4071600567</v>
      </c>
      <c r="G618" s="34" t="n">
        <f aca="false">IF(18&gt;Inputs!$B$7,0,(-PMT(Inputs!$B$6/12,Inputs!$B$7*12,(Inputs!$B$4*(1-Inputs!$B$5)))*12))+G553*Inputs!$B$9+Inputs!$B$10*(1+Inputs!$B$15)^17+Inputs!$B$11*12*(1+Inputs!$B$15)^17+G553*Inputs!$B$12</f>
        <v>46715.4071600567</v>
      </c>
      <c r="H618" s="34" t="n">
        <f aca="false">IF(18&gt;Inputs!$B$7,0,(-PMT(Inputs!$B$6/12,Inputs!$B$7*12,(Inputs!$B$4*(1-Inputs!$B$5)))*12))+H553*Inputs!$B$9+Inputs!$B$10*(1+Inputs!$B$15)^17+Inputs!$B$11*12*(1+Inputs!$B$15)^17+H553*Inputs!$B$12</f>
        <v>46715.4071600567</v>
      </c>
    </row>
    <row r="619" customFormat="false" ht="15" hidden="true" customHeight="true" outlineLevel="0" collapsed="false">
      <c r="B619" s="34" t="n">
        <f aca="false">IF(19&gt;Inputs!$B$7,0,(-PMT(Inputs!$B$6/12,Inputs!$B$7*12,(Inputs!$B$4*(1-Inputs!$B$5)))*12))+B554*Inputs!$B$9+Inputs!$B$10*(1+Inputs!$B$15)^18+Inputs!$B$11*12*(1+Inputs!$B$15)^18+B554*Inputs!$B$12</f>
        <v>47271.3143627616</v>
      </c>
      <c r="C619" s="34" t="n">
        <f aca="false">IF(19&gt;Inputs!$B$7,0,(-PMT(Inputs!$B$6/12,Inputs!$B$7*12,(Inputs!$B$4*(1-Inputs!$B$5)))*12))+C554*Inputs!$B$9+Inputs!$B$10*(1+Inputs!$B$15)^18+Inputs!$B$11*12*(1+Inputs!$B$15)^18+C554*Inputs!$B$12</f>
        <v>47271.3143627616</v>
      </c>
      <c r="D619" s="34" t="n">
        <f aca="false">IF(19&gt;Inputs!$B$7,0,(-PMT(Inputs!$B$6/12,Inputs!$B$7*12,(Inputs!$B$4*(1-Inputs!$B$5)))*12))+D554*Inputs!$B$9+Inputs!$B$10*(1+Inputs!$B$15)^18+Inputs!$B$11*12*(1+Inputs!$B$15)^18+D554*Inputs!$B$12</f>
        <v>47271.3143627616</v>
      </c>
      <c r="E619" s="34" t="n">
        <f aca="false">IF(19&gt;Inputs!$B$7,0,(-PMT(Inputs!$B$6/12,Inputs!$B$7*12,(Inputs!$B$4*(1-Inputs!$B$5)))*12))+E554*Inputs!$B$9+Inputs!$B$10*(1+Inputs!$B$15)^18+Inputs!$B$11*12*(1+Inputs!$B$15)^18+E554*Inputs!$B$12</f>
        <v>47271.3143627616</v>
      </c>
      <c r="F619" s="34" t="n">
        <f aca="false">IF(19&gt;Inputs!$B$7,0,(-PMT(Inputs!$B$6/12,Inputs!$B$7*12,(Inputs!$B$4*(1-Inputs!$B$5)))*12))+F554*Inputs!$B$9+Inputs!$B$10*(1+Inputs!$B$15)^18+Inputs!$B$11*12*(1+Inputs!$B$15)^18+F554*Inputs!$B$12</f>
        <v>47271.3143627616</v>
      </c>
      <c r="G619" s="34" t="n">
        <f aca="false">IF(19&gt;Inputs!$B$7,0,(-PMT(Inputs!$B$6/12,Inputs!$B$7*12,(Inputs!$B$4*(1-Inputs!$B$5)))*12))+G554*Inputs!$B$9+Inputs!$B$10*(1+Inputs!$B$15)^18+Inputs!$B$11*12*(1+Inputs!$B$15)^18+G554*Inputs!$B$12</f>
        <v>47271.3143627616</v>
      </c>
      <c r="H619" s="34" t="n">
        <f aca="false">IF(19&gt;Inputs!$B$7,0,(-PMT(Inputs!$B$6/12,Inputs!$B$7*12,(Inputs!$B$4*(1-Inputs!$B$5)))*12))+H554*Inputs!$B$9+Inputs!$B$10*(1+Inputs!$B$15)^18+Inputs!$B$11*12*(1+Inputs!$B$15)^18+H554*Inputs!$B$12</f>
        <v>47271.3143627616</v>
      </c>
    </row>
    <row r="620" customFormat="false" ht="15" hidden="true" customHeight="true" outlineLevel="0" collapsed="false">
      <c r="B620" s="34" t="n">
        <f aca="false">IF(20&gt;Inputs!$B$7,0,(-PMT(Inputs!$B$6/12,Inputs!$B$7*12,(Inputs!$B$4*(1-Inputs!$B$5)))*12))+B555*Inputs!$B$9+Inputs!$B$10*(1+Inputs!$B$15)^19+Inputs!$B$11*12*(1+Inputs!$B$15)^19+B555*Inputs!$B$12</f>
        <v>47843.8987815476</v>
      </c>
      <c r="C620" s="34" t="n">
        <f aca="false">IF(20&gt;Inputs!$B$7,0,(-PMT(Inputs!$B$6/12,Inputs!$B$7*12,(Inputs!$B$4*(1-Inputs!$B$5)))*12))+C555*Inputs!$B$9+Inputs!$B$10*(1+Inputs!$B$15)^19+Inputs!$B$11*12*(1+Inputs!$B$15)^19+C555*Inputs!$B$12</f>
        <v>47843.8987815476</v>
      </c>
      <c r="D620" s="34" t="n">
        <f aca="false">IF(20&gt;Inputs!$B$7,0,(-PMT(Inputs!$B$6/12,Inputs!$B$7*12,(Inputs!$B$4*(1-Inputs!$B$5)))*12))+D555*Inputs!$B$9+Inputs!$B$10*(1+Inputs!$B$15)^19+Inputs!$B$11*12*(1+Inputs!$B$15)^19+D555*Inputs!$B$12</f>
        <v>47843.8987815476</v>
      </c>
      <c r="E620" s="34" t="n">
        <f aca="false">IF(20&gt;Inputs!$B$7,0,(-PMT(Inputs!$B$6/12,Inputs!$B$7*12,(Inputs!$B$4*(1-Inputs!$B$5)))*12))+E555*Inputs!$B$9+Inputs!$B$10*(1+Inputs!$B$15)^19+Inputs!$B$11*12*(1+Inputs!$B$15)^19+E555*Inputs!$B$12</f>
        <v>47843.8987815476</v>
      </c>
      <c r="F620" s="34" t="n">
        <f aca="false">IF(20&gt;Inputs!$B$7,0,(-PMT(Inputs!$B$6/12,Inputs!$B$7*12,(Inputs!$B$4*(1-Inputs!$B$5)))*12))+F555*Inputs!$B$9+Inputs!$B$10*(1+Inputs!$B$15)^19+Inputs!$B$11*12*(1+Inputs!$B$15)^19+F555*Inputs!$B$12</f>
        <v>47843.8987815476</v>
      </c>
      <c r="G620" s="34" t="n">
        <f aca="false">IF(20&gt;Inputs!$B$7,0,(-PMT(Inputs!$B$6/12,Inputs!$B$7*12,(Inputs!$B$4*(1-Inputs!$B$5)))*12))+G555*Inputs!$B$9+Inputs!$B$10*(1+Inputs!$B$15)^19+Inputs!$B$11*12*(1+Inputs!$B$15)^19+G555*Inputs!$B$12</f>
        <v>47843.8987815476</v>
      </c>
      <c r="H620" s="34" t="n">
        <f aca="false">IF(20&gt;Inputs!$B$7,0,(-PMT(Inputs!$B$6/12,Inputs!$B$7*12,(Inputs!$B$4*(1-Inputs!$B$5)))*12))+H555*Inputs!$B$9+Inputs!$B$10*(1+Inputs!$B$15)^19+Inputs!$B$11*12*(1+Inputs!$B$15)^19+H555*Inputs!$B$12</f>
        <v>47843.8987815476</v>
      </c>
    </row>
    <row r="621" customFormat="false" ht="15" hidden="true" customHeight="true" outlineLevel="0" collapsed="false">
      <c r="B621" s="34" t="n">
        <f aca="false">IF(21&gt;Inputs!$B$7,0,(-PMT(Inputs!$B$6/12,Inputs!$B$7*12,(Inputs!$B$4*(1-Inputs!$B$5)))*12))+B556*Inputs!$B$9+Inputs!$B$10*(1+Inputs!$B$15)^20+Inputs!$B$11*12*(1+Inputs!$B$15)^20+B556*Inputs!$B$12</f>
        <v>48433.6607328972</v>
      </c>
      <c r="C621" s="34" t="n">
        <f aca="false">IF(21&gt;Inputs!$B$7,0,(-PMT(Inputs!$B$6/12,Inputs!$B$7*12,(Inputs!$B$4*(1-Inputs!$B$5)))*12))+C556*Inputs!$B$9+Inputs!$B$10*(1+Inputs!$B$15)^20+Inputs!$B$11*12*(1+Inputs!$B$15)^20+C556*Inputs!$B$12</f>
        <v>48433.6607328972</v>
      </c>
      <c r="D621" s="34" t="n">
        <f aca="false">IF(21&gt;Inputs!$B$7,0,(-PMT(Inputs!$B$6/12,Inputs!$B$7*12,(Inputs!$B$4*(1-Inputs!$B$5)))*12))+D556*Inputs!$B$9+Inputs!$B$10*(1+Inputs!$B$15)^20+Inputs!$B$11*12*(1+Inputs!$B$15)^20+D556*Inputs!$B$12</f>
        <v>48433.6607328972</v>
      </c>
      <c r="E621" s="34" t="n">
        <f aca="false">IF(21&gt;Inputs!$B$7,0,(-PMT(Inputs!$B$6/12,Inputs!$B$7*12,(Inputs!$B$4*(1-Inputs!$B$5)))*12))+E556*Inputs!$B$9+Inputs!$B$10*(1+Inputs!$B$15)^20+Inputs!$B$11*12*(1+Inputs!$B$15)^20+E556*Inputs!$B$12</f>
        <v>48433.6607328972</v>
      </c>
      <c r="F621" s="34" t="n">
        <f aca="false">IF(21&gt;Inputs!$B$7,0,(-PMT(Inputs!$B$6/12,Inputs!$B$7*12,(Inputs!$B$4*(1-Inputs!$B$5)))*12))+F556*Inputs!$B$9+Inputs!$B$10*(1+Inputs!$B$15)^20+Inputs!$B$11*12*(1+Inputs!$B$15)^20+F556*Inputs!$B$12</f>
        <v>48433.6607328972</v>
      </c>
      <c r="G621" s="34" t="n">
        <f aca="false">IF(21&gt;Inputs!$B$7,0,(-PMT(Inputs!$B$6/12,Inputs!$B$7*12,(Inputs!$B$4*(1-Inputs!$B$5)))*12))+G556*Inputs!$B$9+Inputs!$B$10*(1+Inputs!$B$15)^20+Inputs!$B$11*12*(1+Inputs!$B$15)^20+G556*Inputs!$B$12</f>
        <v>48433.6607328972</v>
      </c>
      <c r="H621" s="34" t="n">
        <f aca="false">IF(21&gt;Inputs!$B$7,0,(-PMT(Inputs!$B$6/12,Inputs!$B$7*12,(Inputs!$B$4*(1-Inputs!$B$5)))*12))+H556*Inputs!$B$9+Inputs!$B$10*(1+Inputs!$B$15)^20+Inputs!$B$11*12*(1+Inputs!$B$15)^20+H556*Inputs!$B$12</f>
        <v>48433.6607328972</v>
      </c>
    </row>
    <row r="622" customFormat="false" ht="15" hidden="true" customHeight="true" outlineLevel="0" collapsed="false">
      <c r="B622" s="34" t="n">
        <f aca="false">IF(22&gt;Inputs!$B$7,0,(-PMT(Inputs!$B$6/12,Inputs!$B$7*12,(Inputs!$B$4*(1-Inputs!$B$5)))*12))+B557*Inputs!$B$9+Inputs!$B$10*(1+Inputs!$B$15)^21+Inputs!$B$11*12*(1+Inputs!$B$15)^21+B557*Inputs!$B$12</f>
        <v>49041.1155427872</v>
      </c>
      <c r="C622" s="34" t="n">
        <f aca="false">IF(22&gt;Inputs!$B$7,0,(-PMT(Inputs!$B$6/12,Inputs!$B$7*12,(Inputs!$B$4*(1-Inputs!$B$5)))*12))+C557*Inputs!$B$9+Inputs!$B$10*(1+Inputs!$B$15)^21+Inputs!$B$11*12*(1+Inputs!$B$15)^21+C557*Inputs!$B$12</f>
        <v>49041.1155427872</v>
      </c>
      <c r="D622" s="34" t="n">
        <f aca="false">IF(22&gt;Inputs!$B$7,0,(-PMT(Inputs!$B$6/12,Inputs!$B$7*12,(Inputs!$B$4*(1-Inputs!$B$5)))*12))+D557*Inputs!$B$9+Inputs!$B$10*(1+Inputs!$B$15)^21+Inputs!$B$11*12*(1+Inputs!$B$15)^21+D557*Inputs!$B$12</f>
        <v>49041.1155427872</v>
      </c>
      <c r="E622" s="34" t="n">
        <f aca="false">IF(22&gt;Inputs!$B$7,0,(-PMT(Inputs!$B$6/12,Inputs!$B$7*12,(Inputs!$B$4*(1-Inputs!$B$5)))*12))+E557*Inputs!$B$9+Inputs!$B$10*(1+Inputs!$B$15)^21+Inputs!$B$11*12*(1+Inputs!$B$15)^21+E557*Inputs!$B$12</f>
        <v>49041.1155427872</v>
      </c>
      <c r="F622" s="34" t="n">
        <f aca="false">IF(22&gt;Inputs!$B$7,0,(-PMT(Inputs!$B$6/12,Inputs!$B$7*12,(Inputs!$B$4*(1-Inputs!$B$5)))*12))+F557*Inputs!$B$9+Inputs!$B$10*(1+Inputs!$B$15)^21+Inputs!$B$11*12*(1+Inputs!$B$15)^21+F557*Inputs!$B$12</f>
        <v>49041.1155427872</v>
      </c>
      <c r="G622" s="34" t="n">
        <f aca="false">IF(22&gt;Inputs!$B$7,0,(-PMT(Inputs!$B$6/12,Inputs!$B$7*12,(Inputs!$B$4*(1-Inputs!$B$5)))*12))+G557*Inputs!$B$9+Inputs!$B$10*(1+Inputs!$B$15)^21+Inputs!$B$11*12*(1+Inputs!$B$15)^21+G557*Inputs!$B$12</f>
        <v>49041.1155427872</v>
      </c>
      <c r="H622" s="34" t="n">
        <f aca="false">IF(22&gt;Inputs!$B$7,0,(-PMT(Inputs!$B$6/12,Inputs!$B$7*12,(Inputs!$B$4*(1-Inputs!$B$5)))*12))+H557*Inputs!$B$9+Inputs!$B$10*(1+Inputs!$B$15)^21+Inputs!$B$11*12*(1+Inputs!$B$15)^21+H557*Inputs!$B$12</f>
        <v>49041.1155427872</v>
      </c>
    </row>
    <row r="623" customFormat="false" ht="15" hidden="true" customHeight="true" outlineLevel="0" collapsed="false">
      <c r="B623" s="34" t="n">
        <f aca="false">IF(23&gt;Inputs!$B$7,0,(-PMT(Inputs!$B$6/12,Inputs!$B$7*12,(Inputs!$B$4*(1-Inputs!$B$5)))*12))+B558*Inputs!$B$9+Inputs!$B$10*(1+Inputs!$B$15)^22+Inputs!$B$11*12*(1+Inputs!$B$15)^22+B558*Inputs!$B$12</f>
        <v>49666.793996974</v>
      </c>
      <c r="C623" s="34" t="n">
        <f aca="false">IF(23&gt;Inputs!$B$7,0,(-PMT(Inputs!$B$6/12,Inputs!$B$7*12,(Inputs!$B$4*(1-Inputs!$B$5)))*12))+C558*Inputs!$B$9+Inputs!$B$10*(1+Inputs!$B$15)^22+Inputs!$B$11*12*(1+Inputs!$B$15)^22+C558*Inputs!$B$12</f>
        <v>49666.793996974</v>
      </c>
      <c r="D623" s="34" t="n">
        <f aca="false">IF(23&gt;Inputs!$B$7,0,(-PMT(Inputs!$B$6/12,Inputs!$B$7*12,(Inputs!$B$4*(1-Inputs!$B$5)))*12))+D558*Inputs!$B$9+Inputs!$B$10*(1+Inputs!$B$15)^22+Inputs!$B$11*12*(1+Inputs!$B$15)^22+D558*Inputs!$B$12</f>
        <v>49666.793996974</v>
      </c>
      <c r="E623" s="34" t="n">
        <f aca="false">IF(23&gt;Inputs!$B$7,0,(-PMT(Inputs!$B$6/12,Inputs!$B$7*12,(Inputs!$B$4*(1-Inputs!$B$5)))*12))+E558*Inputs!$B$9+Inputs!$B$10*(1+Inputs!$B$15)^22+Inputs!$B$11*12*(1+Inputs!$B$15)^22+E558*Inputs!$B$12</f>
        <v>49666.793996974</v>
      </c>
      <c r="F623" s="34" t="n">
        <f aca="false">IF(23&gt;Inputs!$B$7,0,(-PMT(Inputs!$B$6/12,Inputs!$B$7*12,(Inputs!$B$4*(1-Inputs!$B$5)))*12))+F558*Inputs!$B$9+Inputs!$B$10*(1+Inputs!$B$15)^22+Inputs!$B$11*12*(1+Inputs!$B$15)^22+F558*Inputs!$B$12</f>
        <v>49666.793996974</v>
      </c>
      <c r="G623" s="34" t="n">
        <f aca="false">IF(23&gt;Inputs!$B$7,0,(-PMT(Inputs!$B$6/12,Inputs!$B$7*12,(Inputs!$B$4*(1-Inputs!$B$5)))*12))+G558*Inputs!$B$9+Inputs!$B$10*(1+Inputs!$B$15)^22+Inputs!$B$11*12*(1+Inputs!$B$15)^22+G558*Inputs!$B$12</f>
        <v>49666.793996974</v>
      </c>
      <c r="H623" s="34" t="n">
        <f aca="false">IF(23&gt;Inputs!$B$7,0,(-PMT(Inputs!$B$6/12,Inputs!$B$7*12,(Inputs!$B$4*(1-Inputs!$B$5)))*12))+H558*Inputs!$B$9+Inputs!$B$10*(1+Inputs!$B$15)^22+Inputs!$B$11*12*(1+Inputs!$B$15)^22+H558*Inputs!$B$12</f>
        <v>49666.793996974</v>
      </c>
    </row>
    <row r="624" customFormat="false" ht="15" hidden="true" customHeight="true" outlineLevel="0" collapsed="false">
      <c r="B624" s="34" t="n">
        <f aca="false">IF(24&gt;Inputs!$B$7,0,(-PMT(Inputs!$B$6/12,Inputs!$B$7*12,(Inputs!$B$4*(1-Inputs!$B$5)))*12))+B559*Inputs!$B$9+Inputs!$B$10*(1+Inputs!$B$15)^23+Inputs!$B$11*12*(1+Inputs!$B$15)^23+B559*Inputs!$B$12</f>
        <v>50311.2428047864</v>
      </c>
      <c r="C624" s="34" t="n">
        <f aca="false">IF(24&gt;Inputs!$B$7,0,(-PMT(Inputs!$B$6/12,Inputs!$B$7*12,(Inputs!$B$4*(1-Inputs!$B$5)))*12))+C559*Inputs!$B$9+Inputs!$B$10*(1+Inputs!$B$15)^23+Inputs!$B$11*12*(1+Inputs!$B$15)^23+C559*Inputs!$B$12</f>
        <v>50311.2428047864</v>
      </c>
      <c r="D624" s="34" t="n">
        <f aca="false">IF(24&gt;Inputs!$B$7,0,(-PMT(Inputs!$B$6/12,Inputs!$B$7*12,(Inputs!$B$4*(1-Inputs!$B$5)))*12))+D559*Inputs!$B$9+Inputs!$B$10*(1+Inputs!$B$15)^23+Inputs!$B$11*12*(1+Inputs!$B$15)^23+D559*Inputs!$B$12</f>
        <v>50311.2428047864</v>
      </c>
      <c r="E624" s="34" t="n">
        <f aca="false">IF(24&gt;Inputs!$B$7,0,(-PMT(Inputs!$B$6/12,Inputs!$B$7*12,(Inputs!$B$4*(1-Inputs!$B$5)))*12))+E559*Inputs!$B$9+Inputs!$B$10*(1+Inputs!$B$15)^23+Inputs!$B$11*12*(1+Inputs!$B$15)^23+E559*Inputs!$B$12</f>
        <v>50311.2428047864</v>
      </c>
      <c r="F624" s="34" t="n">
        <f aca="false">IF(24&gt;Inputs!$B$7,0,(-PMT(Inputs!$B$6/12,Inputs!$B$7*12,(Inputs!$B$4*(1-Inputs!$B$5)))*12))+F559*Inputs!$B$9+Inputs!$B$10*(1+Inputs!$B$15)^23+Inputs!$B$11*12*(1+Inputs!$B$15)^23+F559*Inputs!$B$12</f>
        <v>50311.2428047864</v>
      </c>
      <c r="G624" s="34" t="n">
        <f aca="false">IF(24&gt;Inputs!$B$7,0,(-PMT(Inputs!$B$6/12,Inputs!$B$7*12,(Inputs!$B$4*(1-Inputs!$B$5)))*12))+G559*Inputs!$B$9+Inputs!$B$10*(1+Inputs!$B$15)^23+Inputs!$B$11*12*(1+Inputs!$B$15)^23+G559*Inputs!$B$12</f>
        <v>50311.2428047864</v>
      </c>
      <c r="H624" s="34" t="n">
        <f aca="false">IF(24&gt;Inputs!$B$7,0,(-PMT(Inputs!$B$6/12,Inputs!$B$7*12,(Inputs!$B$4*(1-Inputs!$B$5)))*12))+H559*Inputs!$B$9+Inputs!$B$10*(1+Inputs!$B$15)^23+Inputs!$B$11*12*(1+Inputs!$B$15)^23+H559*Inputs!$B$12</f>
        <v>50311.2428047864</v>
      </c>
    </row>
    <row r="625" customFormat="false" ht="15" hidden="true" customHeight="true" outlineLevel="0" collapsed="false">
      <c r="B625" s="34" t="n">
        <f aca="false">IF(25&gt;Inputs!$B$7,0,(-PMT(Inputs!$B$6/12,Inputs!$B$7*12,(Inputs!$B$4*(1-Inputs!$B$5)))*12))+B560*Inputs!$B$9+Inputs!$B$10*(1+Inputs!$B$15)^24+Inputs!$B$11*12*(1+Inputs!$B$15)^24+B560*Inputs!$B$12</f>
        <v>50975.0250768331</v>
      </c>
      <c r="C625" s="34" t="n">
        <f aca="false">IF(25&gt;Inputs!$B$7,0,(-PMT(Inputs!$B$6/12,Inputs!$B$7*12,(Inputs!$B$4*(1-Inputs!$B$5)))*12))+C560*Inputs!$B$9+Inputs!$B$10*(1+Inputs!$B$15)^24+Inputs!$B$11*12*(1+Inputs!$B$15)^24+C560*Inputs!$B$12</f>
        <v>50975.0250768331</v>
      </c>
      <c r="D625" s="34" t="n">
        <f aca="false">IF(25&gt;Inputs!$B$7,0,(-PMT(Inputs!$B$6/12,Inputs!$B$7*12,(Inputs!$B$4*(1-Inputs!$B$5)))*12))+D560*Inputs!$B$9+Inputs!$B$10*(1+Inputs!$B$15)^24+Inputs!$B$11*12*(1+Inputs!$B$15)^24+D560*Inputs!$B$12</f>
        <v>50975.0250768331</v>
      </c>
      <c r="E625" s="34" t="n">
        <f aca="false">IF(25&gt;Inputs!$B$7,0,(-PMT(Inputs!$B$6/12,Inputs!$B$7*12,(Inputs!$B$4*(1-Inputs!$B$5)))*12))+E560*Inputs!$B$9+Inputs!$B$10*(1+Inputs!$B$15)^24+Inputs!$B$11*12*(1+Inputs!$B$15)^24+E560*Inputs!$B$12</f>
        <v>50975.0250768331</v>
      </c>
      <c r="F625" s="34" t="n">
        <f aca="false">IF(25&gt;Inputs!$B$7,0,(-PMT(Inputs!$B$6/12,Inputs!$B$7*12,(Inputs!$B$4*(1-Inputs!$B$5)))*12))+F560*Inputs!$B$9+Inputs!$B$10*(1+Inputs!$B$15)^24+Inputs!$B$11*12*(1+Inputs!$B$15)^24+F560*Inputs!$B$12</f>
        <v>50975.0250768331</v>
      </c>
      <c r="G625" s="34" t="n">
        <f aca="false">IF(25&gt;Inputs!$B$7,0,(-PMT(Inputs!$B$6/12,Inputs!$B$7*12,(Inputs!$B$4*(1-Inputs!$B$5)))*12))+G560*Inputs!$B$9+Inputs!$B$10*(1+Inputs!$B$15)^24+Inputs!$B$11*12*(1+Inputs!$B$15)^24+G560*Inputs!$B$12</f>
        <v>50975.0250768331</v>
      </c>
      <c r="H625" s="34" t="n">
        <f aca="false">IF(25&gt;Inputs!$B$7,0,(-PMT(Inputs!$B$6/12,Inputs!$B$7*12,(Inputs!$B$4*(1-Inputs!$B$5)))*12))+H560*Inputs!$B$9+Inputs!$B$10*(1+Inputs!$B$15)^24+Inputs!$B$11*12*(1+Inputs!$B$15)^24+H560*Inputs!$B$12</f>
        <v>50975.0250768331</v>
      </c>
    </row>
    <row r="626" customFormat="false" ht="15" hidden="true" customHeight="true" outlineLevel="0" collapsed="false">
      <c r="B626" s="34" t="n">
        <f aca="false">IF(26&gt;Inputs!$B$7,0,(-PMT(Inputs!$B$6/12,Inputs!$B$7*12,(Inputs!$B$4*(1-Inputs!$B$5)))*12))+B561*Inputs!$B$9+Inputs!$B$10*(1+Inputs!$B$15)^25+Inputs!$B$11*12*(1+Inputs!$B$15)^25+B561*Inputs!$B$12</f>
        <v>51658.7208170413</v>
      </c>
      <c r="C626" s="34" t="n">
        <f aca="false">IF(26&gt;Inputs!$B$7,0,(-PMT(Inputs!$B$6/12,Inputs!$B$7*12,(Inputs!$B$4*(1-Inputs!$B$5)))*12))+C561*Inputs!$B$9+Inputs!$B$10*(1+Inputs!$B$15)^25+Inputs!$B$11*12*(1+Inputs!$B$15)^25+C561*Inputs!$B$12</f>
        <v>51658.7208170413</v>
      </c>
      <c r="D626" s="34" t="n">
        <f aca="false">IF(26&gt;Inputs!$B$7,0,(-PMT(Inputs!$B$6/12,Inputs!$B$7*12,(Inputs!$B$4*(1-Inputs!$B$5)))*12))+D561*Inputs!$B$9+Inputs!$B$10*(1+Inputs!$B$15)^25+Inputs!$B$11*12*(1+Inputs!$B$15)^25+D561*Inputs!$B$12</f>
        <v>51658.7208170413</v>
      </c>
      <c r="E626" s="34" t="n">
        <f aca="false">IF(26&gt;Inputs!$B$7,0,(-PMT(Inputs!$B$6/12,Inputs!$B$7*12,(Inputs!$B$4*(1-Inputs!$B$5)))*12))+E561*Inputs!$B$9+Inputs!$B$10*(1+Inputs!$B$15)^25+Inputs!$B$11*12*(1+Inputs!$B$15)^25+E561*Inputs!$B$12</f>
        <v>51658.7208170413</v>
      </c>
      <c r="F626" s="34" t="n">
        <f aca="false">IF(26&gt;Inputs!$B$7,0,(-PMT(Inputs!$B$6/12,Inputs!$B$7*12,(Inputs!$B$4*(1-Inputs!$B$5)))*12))+F561*Inputs!$B$9+Inputs!$B$10*(1+Inputs!$B$15)^25+Inputs!$B$11*12*(1+Inputs!$B$15)^25+F561*Inputs!$B$12</f>
        <v>51658.7208170413</v>
      </c>
      <c r="G626" s="34" t="n">
        <f aca="false">IF(26&gt;Inputs!$B$7,0,(-PMT(Inputs!$B$6/12,Inputs!$B$7*12,(Inputs!$B$4*(1-Inputs!$B$5)))*12))+G561*Inputs!$B$9+Inputs!$B$10*(1+Inputs!$B$15)^25+Inputs!$B$11*12*(1+Inputs!$B$15)^25+G561*Inputs!$B$12</f>
        <v>51658.7208170413</v>
      </c>
      <c r="H626" s="34" t="n">
        <f aca="false">IF(26&gt;Inputs!$B$7,0,(-PMT(Inputs!$B$6/12,Inputs!$B$7*12,(Inputs!$B$4*(1-Inputs!$B$5)))*12))+H561*Inputs!$B$9+Inputs!$B$10*(1+Inputs!$B$15)^25+Inputs!$B$11*12*(1+Inputs!$B$15)^25+H561*Inputs!$B$12</f>
        <v>51658.7208170413</v>
      </c>
    </row>
    <row r="627" customFormat="false" ht="15" hidden="true" customHeight="true" outlineLevel="0" collapsed="false">
      <c r="B627" s="34" t="n">
        <f aca="false">IF(27&gt;Inputs!$B$7,0,(-PMT(Inputs!$B$6/12,Inputs!$B$7*12,(Inputs!$B$4*(1-Inputs!$B$5)))*12))+B562*Inputs!$B$9+Inputs!$B$10*(1+Inputs!$B$15)^26+Inputs!$B$11*12*(1+Inputs!$B$15)^26+B562*Inputs!$B$12</f>
        <v>52362.9274294557</v>
      </c>
      <c r="C627" s="34" t="n">
        <f aca="false">IF(27&gt;Inputs!$B$7,0,(-PMT(Inputs!$B$6/12,Inputs!$B$7*12,(Inputs!$B$4*(1-Inputs!$B$5)))*12))+C562*Inputs!$B$9+Inputs!$B$10*(1+Inputs!$B$15)^26+Inputs!$B$11*12*(1+Inputs!$B$15)^26+C562*Inputs!$B$12</f>
        <v>52362.9274294557</v>
      </c>
      <c r="D627" s="34" t="n">
        <f aca="false">IF(27&gt;Inputs!$B$7,0,(-PMT(Inputs!$B$6/12,Inputs!$B$7*12,(Inputs!$B$4*(1-Inputs!$B$5)))*12))+D562*Inputs!$B$9+Inputs!$B$10*(1+Inputs!$B$15)^26+Inputs!$B$11*12*(1+Inputs!$B$15)^26+D562*Inputs!$B$12</f>
        <v>52362.9274294557</v>
      </c>
      <c r="E627" s="34" t="n">
        <f aca="false">IF(27&gt;Inputs!$B$7,0,(-PMT(Inputs!$B$6/12,Inputs!$B$7*12,(Inputs!$B$4*(1-Inputs!$B$5)))*12))+E562*Inputs!$B$9+Inputs!$B$10*(1+Inputs!$B$15)^26+Inputs!$B$11*12*(1+Inputs!$B$15)^26+E562*Inputs!$B$12</f>
        <v>52362.9274294557</v>
      </c>
      <c r="F627" s="34" t="n">
        <f aca="false">IF(27&gt;Inputs!$B$7,0,(-PMT(Inputs!$B$6/12,Inputs!$B$7*12,(Inputs!$B$4*(1-Inputs!$B$5)))*12))+F562*Inputs!$B$9+Inputs!$B$10*(1+Inputs!$B$15)^26+Inputs!$B$11*12*(1+Inputs!$B$15)^26+F562*Inputs!$B$12</f>
        <v>52362.9274294557</v>
      </c>
      <c r="G627" s="34" t="n">
        <f aca="false">IF(27&gt;Inputs!$B$7,0,(-PMT(Inputs!$B$6/12,Inputs!$B$7*12,(Inputs!$B$4*(1-Inputs!$B$5)))*12))+G562*Inputs!$B$9+Inputs!$B$10*(1+Inputs!$B$15)^26+Inputs!$B$11*12*(1+Inputs!$B$15)^26+G562*Inputs!$B$12</f>
        <v>52362.9274294557</v>
      </c>
      <c r="H627" s="34" t="n">
        <f aca="false">IF(27&gt;Inputs!$B$7,0,(-PMT(Inputs!$B$6/12,Inputs!$B$7*12,(Inputs!$B$4*(1-Inputs!$B$5)))*12))+H562*Inputs!$B$9+Inputs!$B$10*(1+Inputs!$B$15)^26+Inputs!$B$11*12*(1+Inputs!$B$15)^26+H562*Inputs!$B$12</f>
        <v>52362.9274294557</v>
      </c>
    </row>
    <row r="628" customFormat="false" ht="15" hidden="true" customHeight="true" outlineLevel="0" collapsed="false">
      <c r="B628" s="34" t="n">
        <f aca="false">IF(28&gt;Inputs!$B$7,0,(-PMT(Inputs!$B$6/12,Inputs!$B$7*12,(Inputs!$B$4*(1-Inputs!$B$5)))*12))+B563*Inputs!$B$9+Inputs!$B$10*(1+Inputs!$B$15)^27+Inputs!$B$11*12*(1+Inputs!$B$15)^27+B563*Inputs!$B$12</f>
        <v>53088.2602402425</v>
      </c>
      <c r="C628" s="34" t="n">
        <f aca="false">IF(28&gt;Inputs!$B$7,0,(-PMT(Inputs!$B$6/12,Inputs!$B$7*12,(Inputs!$B$4*(1-Inputs!$B$5)))*12))+C563*Inputs!$B$9+Inputs!$B$10*(1+Inputs!$B$15)^27+Inputs!$B$11*12*(1+Inputs!$B$15)^27+C563*Inputs!$B$12</f>
        <v>53088.2602402425</v>
      </c>
      <c r="D628" s="34" t="n">
        <f aca="false">IF(28&gt;Inputs!$B$7,0,(-PMT(Inputs!$B$6/12,Inputs!$B$7*12,(Inputs!$B$4*(1-Inputs!$B$5)))*12))+D563*Inputs!$B$9+Inputs!$B$10*(1+Inputs!$B$15)^27+Inputs!$B$11*12*(1+Inputs!$B$15)^27+D563*Inputs!$B$12</f>
        <v>53088.2602402425</v>
      </c>
      <c r="E628" s="34" t="n">
        <f aca="false">IF(28&gt;Inputs!$B$7,0,(-PMT(Inputs!$B$6/12,Inputs!$B$7*12,(Inputs!$B$4*(1-Inputs!$B$5)))*12))+E563*Inputs!$B$9+Inputs!$B$10*(1+Inputs!$B$15)^27+Inputs!$B$11*12*(1+Inputs!$B$15)^27+E563*Inputs!$B$12</f>
        <v>53088.2602402425</v>
      </c>
      <c r="F628" s="34" t="n">
        <f aca="false">IF(28&gt;Inputs!$B$7,0,(-PMT(Inputs!$B$6/12,Inputs!$B$7*12,(Inputs!$B$4*(1-Inputs!$B$5)))*12))+F563*Inputs!$B$9+Inputs!$B$10*(1+Inputs!$B$15)^27+Inputs!$B$11*12*(1+Inputs!$B$15)^27+F563*Inputs!$B$12</f>
        <v>53088.2602402425</v>
      </c>
      <c r="G628" s="34" t="n">
        <f aca="false">IF(28&gt;Inputs!$B$7,0,(-PMT(Inputs!$B$6/12,Inputs!$B$7*12,(Inputs!$B$4*(1-Inputs!$B$5)))*12))+G563*Inputs!$B$9+Inputs!$B$10*(1+Inputs!$B$15)^27+Inputs!$B$11*12*(1+Inputs!$B$15)^27+G563*Inputs!$B$12</f>
        <v>53088.2602402425</v>
      </c>
      <c r="H628" s="34" t="n">
        <f aca="false">IF(28&gt;Inputs!$B$7,0,(-PMT(Inputs!$B$6/12,Inputs!$B$7*12,(Inputs!$B$4*(1-Inputs!$B$5)))*12))+H563*Inputs!$B$9+Inputs!$B$10*(1+Inputs!$B$15)^27+Inputs!$B$11*12*(1+Inputs!$B$15)^27+H563*Inputs!$B$12</f>
        <v>53088.2602402425</v>
      </c>
    </row>
    <row r="629" customFormat="false" ht="15" hidden="true" customHeight="true" outlineLevel="0" collapsed="false">
      <c r="B629" s="34" t="n">
        <f aca="false">IF(29&gt;Inputs!$B$7,0,(-PMT(Inputs!$B$6/12,Inputs!$B$7*12,(Inputs!$B$4*(1-Inputs!$B$5)))*12))+B564*Inputs!$B$9+Inputs!$B$10*(1+Inputs!$B$15)^28+Inputs!$B$11*12*(1+Inputs!$B$15)^28+B564*Inputs!$B$12</f>
        <v>53835.3530353529</v>
      </c>
      <c r="C629" s="34" t="n">
        <f aca="false">IF(29&gt;Inputs!$B$7,0,(-PMT(Inputs!$B$6/12,Inputs!$B$7*12,(Inputs!$B$4*(1-Inputs!$B$5)))*12))+C564*Inputs!$B$9+Inputs!$B$10*(1+Inputs!$B$15)^28+Inputs!$B$11*12*(1+Inputs!$B$15)^28+C564*Inputs!$B$12</f>
        <v>53835.3530353529</v>
      </c>
      <c r="D629" s="34" t="n">
        <f aca="false">IF(29&gt;Inputs!$B$7,0,(-PMT(Inputs!$B$6/12,Inputs!$B$7*12,(Inputs!$B$4*(1-Inputs!$B$5)))*12))+D564*Inputs!$B$9+Inputs!$B$10*(1+Inputs!$B$15)^28+Inputs!$B$11*12*(1+Inputs!$B$15)^28+D564*Inputs!$B$12</f>
        <v>53835.3530353529</v>
      </c>
      <c r="E629" s="34" t="n">
        <f aca="false">IF(29&gt;Inputs!$B$7,0,(-PMT(Inputs!$B$6/12,Inputs!$B$7*12,(Inputs!$B$4*(1-Inputs!$B$5)))*12))+E564*Inputs!$B$9+Inputs!$B$10*(1+Inputs!$B$15)^28+Inputs!$B$11*12*(1+Inputs!$B$15)^28+E564*Inputs!$B$12</f>
        <v>53835.3530353529</v>
      </c>
      <c r="F629" s="34" t="n">
        <f aca="false">IF(29&gt;Inputs!$B$7,0,(-PMT(Inputs!$B$6/12,Inputs!$B$7*12,(Inputs!$B$4*(1-Inputs!$B$5)))*12))+F564*Inputs!$B$9+Inputs!$B$10*(1+Inputs!$B$15)^28+Inputs!$B$11*12*(1+Inputs!$B$15)^28+F564*Inputs!$B$12</f>
        <v>53835.3530353529</v>
      </c>
      <c r="G629" s="34" t="n">
        <f aca="false">IF(29&gt;Inputs!$B$7,0,(-PMT(Inputs!$B$6/12,Inputs!$B$7*12,(Inputs!$B$4*(1-Inputs!$B$5)))*12))+G564*Inputs!$B$9+Inputs!$B$10*(1+Inputs!$B$15)^28+Inputs!$B$11*12*(1+Inputs!$B$15)^28+G564*Inputs!$B$12</f>
        <v>53835.3530353529</v>
      </c>
      <c r="H629" s="34" t="n">
        <f aca="false">IF(29&gt;Inputs!$B$7,0,(-PMT(Inputs!$B$6/12,Inputs!$B$7*12,(Inputs!$B$4*(1-Inputs!$B$5)))*12))+H564*Inputs!$B$9+Inputs!$B$10*(1+Inputs!$B$15)^28+Inputs!$B$11*12*(1+Inputs!$B$15)^28+H564*Inputs!$B$12</f>
        <v>53835.3530353529</v>
      </c>
    </row>
    <row r="630" customFormat="false" ht="15" hidden="true" customHeight="true" outlineLevel="0" collapsed="false">
      <c r="B630" s="34" t="n">
        <f aca="false">IF(30&gt;Inputs!$B$7,0,(-PMT(Inputs!$B$6/12,Inputs!$B$7*12,(Inputs!$B$4*(1-Inputs!$B$5)))*12))+B565*Inputs!$B$9+Inputs!$B$10*(1+Inputs!$B$15)^29+Inputs!$B$11*12*(1+Inputs!$B$15)^29+B565*Inputs!$B$12</f>
        <v>54604.8586143167</v>
      </c>
      <c r="C630" s="34" t="n">
        <f aca="false">IF(30&gt;Inputs!$B$7,0,(-PMT(Inputs!$B$6/12,Inputs!$B$7*12,(Inputs!$B$4*(1-Inputs!$B$5)))*12))+C565*Inputs!$B$9+Inputs!$B$10*(1+Inputs!$B$15)^29+Inputs!$B$11*12*(1+Inputs!$B$15)^29+C565*Inputs!$B$12</f>
        <v>54604.8586143167</v>
      </c>
      <c r="D630" s="34" t="n">
        <f aca="false">IF(30&gt;Inputs!$B$7,0,(-PMT(Inputs!$B$6/12,Inputs!$B$7*12,(Inputs!$B$4*(1-Inputs!$B$5)))*12))+D565*Inputs!$B$9+Inputs!$B$10*(1+Inputs!$B$15)^29+Inputs!$B$11*12*(1+Inputs!$B$15)^29+D565*Inputs!$B$12</f>
        <v>54604.8586143167</v>
      </c>
      <c r="E630" s="34" t="n">
        <f aca="false">IF(30&gt;Inputs!$B$7,0,(-PMT(Inputs!$B$6/12,Inputs!$B$7*12,(Inputs!$B$4*(1-Inputs!$B$5)))*12))+E565*Inputs!$B$9+Inputs!$B$10*(1+Inputs!$B$15)^29+Inputs!$B$11*12*(1+Inputs!$B$15)^29+E565*Inputs!$B$12</f>
        <v>54604.8586143167</v>
      </c>
      <c r="F630" s="34" t="n">
        <f aca="false">IF(30&gt;Inputs!$B$7,0,(-PMT(Inputs!$B$6/12,Inputs!$B$7*12,(Inputs!$B$4*(1-Inputs!$B$5)))*12))+F565*Inputs!$B$9+Inputs!$B$10*(1+Inputs!$B$15)^29+Inputs!$B$11*12*(1+Inputs!$B$15)^29+F565*Inputs!$B$12</f>
        <v>54604.8586143167</v>
      </c>
      <c r="G630" s="34" t="n">
        <f aca="false">IF(30&gt;Inputs!$B$7,0,(-PMT(Inputs!$B$6/12,Inputs!$B$7*12,(Inputs!$B$4*(1-Inputs!$B$5)))*12))+G565*Inputs!$B$9+Inputs!$B$10*(1+Inputs!$B$15)^29+Inputs!$B$11*12*(1+Inputs!$B$15)^29+G565*Inputs!$B$12</f>
        <v>54604.8586143167</v>
      </c>
      <c r="H630" s="34" t="n">
        <f aca="false">IF(30&gt;Inputs!$B$7,0,(-PMT(Inputs!$B$6/12,Inputs!$B$7*12,(Inputs!$B$4*(1-Inputs!$B$5)))*12))+H565*Inputs!$B$9+Inputs!$B$10*(1+Inputs!$B$15)^29+Inputs!$B$11*12*(1+Inputs!$B$15)^29+H565*Inputs!$B$12</f>
        <v>54604.8586143167</v>
      </c>
    </row>
    <row r="631" customFormat="false" ht="15" hidden="true" customHeight="true" outlineLevel="0" collapsed="false"/>
    <row r="632" customFormat="false" ht="15" hidden="true" customHeight="true" outlineLevel="0" collapsed="false">
      <c r="A632" s="33" t="s">
        <v>94</v>
      </c>
      <c r="B632" s="34" t="n">
        <v>0</v>
      </c>
      <c r="C632" s="34" t="n">
        <v>0</v>
      </c>
      <c r="D632" s="34" t="n">
        <v>0</v>
      </c>
      <c r="E632" s="34" t="n">
        <v>0</v>
      </c>
      <c r="F632" s="34" t="n">
        <v>0</v>
      </c>
      <c r="G632" s="34" t="n">
        <v>0</v>
      </c>
      <c r="H632" s="34" t="n">
        <v>0</v>
      </c>
    </row>
    <row r="633" customFormat="false" ht="15" hidden="true" customHeight="true" outlineLevel="0" collapsed="false">
      <c r="B633" s="34" t="n">
        <f aca="false">Inputs!$B$18*12*(1+B$531)^0+Inputs!$B$20*(1+Inputs!$B$15)^0</f>
        <v>27718</v>
      </c>
      <c r="C633" s="34" t="n">
        <f aca="false">Inputs!$B$18*12*(1+C$531)^0+Inputs!$B$20*(1+Inputs!$B$15)^0</f>
        <v>27718</v>
      </c>
      <c r="D633" s="34" t="n">
        <f aca="false">Inputs!$B$18*12*(1+D$531)^0+Inputs!$B$20*(1+Inputs!$B$15)^0</f>
        <v>27718</v>
      </c>
      <c r="E633" s="34" t="n">
        <f aca="false">Inputs!$B$18*12*(1+E$531)^0+Inputs!$B$20*(1+Inputs!$B$15)^0</f>
        <v>27718</v>
      </c>
      <c r="F633" s="34" t="n">
        <f aca="false">Inputs!$B$18*12*(1+F$531)^0+Inputs!$B$20*(1+Inputs!$B$15)^0</f>
        <v>27718</v>
      </c>
      <c r="G633" s="34" t="n">
        <f aca="false">Inputs!$B$18*12*(1+G$531)^0+Inputs!$B$20*(1+Inputs!$B$15)^0</f>
        <v>27718</v>
      </c>
      <c r="H633" s="34" t="n">
        <f aca="false">Inputs!$B$18*12*(1+H$531)^0+Inputs!$B$20*(1+Inputs!$B$15)^0</f>
        <v>27718</v>
      </c>
    </row>
    <row r="634" customFormat="false" ht="15" hidden="true" customHeight="true" outlineLevel="0" collapsed="false">
      <c r="B634" s="34" t="n">
        <f aca="false">Inputs!$B$18*12*(1+B$531)^1+Inputs!$B$20*(1+Inputs!$B$15)^1</f>
        <v>27725.5</v>
      </c>
      <c r="C634" s="34" t="n">
        <f aca="false">Inputs!$B$18*12*(1+C$531)^1+Inputs!$B$20*(1+Inputs!$B$15)^1</f>
        <v>28000.18</v>
      </c>
      <c r="D634" s="34" t="n">
        <f aca="false">Inputs!$B$18*12*(1+D$531)^1+Inputs!$B$20*(1+Inputs!$B$15)^1</f>
        <v>28274.86</v>
      </c>
      <c r="E634" s="34" t="n">
        <f aca="false">Inputs!$B$18*12*(1+E$531)^1+Inputs!$B$20*(1+Inputs!$B$15)^1</f>
        <v>28549.54</v>
      </c>
      <c r="F634" s="34" t="n">
        <f aca="false">Inputs!$B$18*12*(1+F$531)^1+Inputs!$B$20*(1+Inputs!$B$15)^1</f>
        <v>28824.22</v>
      </c>
      <c r="G634" s="34" t="n">
        <f aca="false">Inputs!$B$18*12*(1+G$531)^1+Inputs!$B$20*(1+Inputs!$B$15)^1</f>
        <v>29098.9</v>
      </c>
      <c r="H634" s="34" t="n">
        <f aca="false">Inputs!$B$18*12*(1+H$531)^1+Inputs!$B$20*(1+Inputs!$B$15)^1</f>
        <v>29373.58</v>
      </c>
    </row>
    <row r="635" customFormat="false" ht="15" hidden="true" customHeight="true" outlineLevel="0" collapsed="false">
      <c r="B635" s="34" t="n">
        <f aca="false">Inputs!$B$18*12*(1+B$531)^2+Inputs!$B$20*(1+Inputs!$B$15)^2</f>
        <v>27733.225</v>
      </c>
      <c r="C635" s="34" t="n">
        <f aca="false">Inputs!$B$18*12*(1+C$531)^2+Inputs!$B$20*(1+Inputs!$B$15)^2</f>
        <v>28285.3318</v>
      </c>
      <c r="D635" s="34" t="n">
        <f aca="false">Inputs!$B$18*12*(1+D$531)^2+Inputs!$B$20*(1+Inputs!$B$15)^2</f>
        <v>28842.9322</v>
      </c>
      <c r="E635" s="34" t="n">
        <f aca="false">Inputs!$B$18*12*(1+E$531)^2+Inputs!$B$20*(1+Inputs!$B$15)^2</f>
        <v>29406.0262</v>
      </c>
      <c r="F635" s="34" t="n">
        <f aca="false">Inputs!$B$18*12*(1+F$531)^2+Inputs!$B$20*(1+Inputs!$B$15)^2</f>
        <v>29974.6138</v>
      </c>
      <c r="G635" s="34" t="n">
        <f aca="false">Inputs!$B$18*12*(1+G$531)^2+Inputs!$B$20*(1+Inputs!$B$15)^2</f>
        <v>30548.695</v>
      </c>
      <c r="H635" s="34" t="n">
        <f aca="false">Inputs!$B$18*12*(1+H$531)^2+Inputs!$B$20*(1+Inputs!$B$15)^2</f>
        <v>31128.2698</v>
      </c>
    </row>
    <row r="636" customFormat="false" ht="15" hidden="true" customHeight="true" outlineLevel="0" collapsed="false">
      <c r="B636" s="34" t="n">
        <f aca="false">Inputs!$B$18*12*(1+B$531)^3+Inputs!$B$20*(1+Inputs!$B$15)^3</f>
        <v>27741.18175</v>
      </c>
      <c r="C636" s="34" t="n">
        <f aca="false">Inputs!$B$18*12*(1+C$531)^3+Inputs!$B$20*(1+Inputs!$B$15)^3</f>
        <v>28573.489618</v>
      </c>
      <c r="D636" s="34" t="n">
        <f aca="false">Inputs!$B$18*12*(1+D$531)^3+Inputs!$B$20*(1+Inputs!$B$15)^3</f>
        <v>29422.443094</v>
      </c>
      <c r="E636" s="34" t="n">
        <f aca="false">Inputs!$B$18*12*(1+E$531)^3+Inputs!$B$20*(1+Inputs!$B$15)^3</f>
        <v>30288.206986</v>
      </c>
      <c r="F636" s="34" t="n">
        <f aca="false">Inputs!$B$18*12*(1+F$531)^3+Inputs!$B$20*(1+Inputs!$B$15)^3</f>
        <v>31170.946102</v>
      </c>
      <c r="G636" s="34" t="n">
        <f aca="false">Inputs!$B$18*12*(1+G$531)^3+Inputs!$B$20*(1+Inputs!$B$15)^3</f>
        <v>32070.82525</v>
      </c>
      <c r="H636" s="34" t="n">
        <f aca="false">Inputs!$B$18*12*(1+H$531)^3+Inputs!$B$20*(1+Inputs!$B$15)^3</f>
        <v>32988.009238</v>
      </c>
    </row>
    <row r="637" customFormat="false" ht="15" hidden="true" customHeight="true" outlineLevel="0" collapsed="false">
      <c r="B637" s="34" t="n">
        <f aca="false">Inputs!$B$18*12*(1+B$531)^4+Inputs!$B$20*(1+Inputs!$B$15)^4</f>
        <v>27749.3772025</v>
      </c>
      <c r="C637" s="34" t="n">
        <f aca="false">Inputs!$B$18*12*(1+C$531)^4+Inputs!$B$20*(1+Inputs!$B$15)^4</f>
        <v>28864.68814918</v>
      </c>
      <c r="D637" s="34" t="n">
        <f aca="false">Inputs!$B$18*12*(1+D$531)^4+Inputs!$B$20*(1+Inputs!$B$15)^4</f>
        <v>30013.62377338</v>
      </c>
      <c r="E637" s="34" t="n">
        <f aca="false">Inputs!$B$18*12*(1+E$531)^4+Inputs!$B$20*(1+Inputs!$B$15)^4</f>
        <v>31196.85319558</v>
      </c>
      <c r="F637" s="34" t="n">
        <f aca="false">Inputs!$B$18*12*(1+F$531)^4+Inputs!$B$20*(1+Inputs!$B$15)^4</f>
        <v>32415.05212858</v>
      </c>
      <c r="G637" s="34" t="n">
        <f aca="false">Inputs!$B$18*12*(1+G$531)^4+Inputs!$B$20*(1+Inputs!$B$15)^4</f>
        <v>33668.9028775</v>
      </c>
      <c r="H637" s="34" t="n">
        <f aca="false">Inputs!$B$18*12*(1+H$531)^4+Inputs!$B$20*(1+Inputs!$B$15)^4</f>
        <v>34959.09433978</v>
      </c>
    </row>
    <row r="638" customFormat="false" ht="15" hidden="true" customHeight="true" outlineLevel="0" collapsed="false">
      <c r="B638" s="34" t="n">
        <f aca="false">Inputs!$B$18*12*(1+B$531)^5+Inputs!$B$20*(1+Inputs!$B$15)^5</f>
        <v>27757.818518575</v>
      </c>
      <c r="C638" s="34" t="n">
        <f aca="false">Inputs!$B$18*12*(1+C$531)^5+Inputs!$B$20*(1+Inputs!$B$15)^5</f>
        <v>29158.9625747218</v>
      </c>
      <c r="D638" s="34" t="n">
        <f aca="false">Inputs!$B$18*12*(1+D$531)^5+Inputs!$B$20*(1+Inputs!$B$15)^5</f>
        <v>30616.7100208726</v>
      </c>
      <c r="E638" s="34" t="n">
        <f aca="false">Inputs!$B$18*12*(1+E$531)^5+Inputs!$B$20*(1+Inputs!$B$15)^5</f>
        <v>32132.7587914474</v>
      </c>
      <c r="F638" s="34" t="n">
        <f aca="false">Inputs!$B$18*12*(1+F$531)^5+Inputs!$B$20*(1+Inputs!$B$15)^5</f>
        <v>33708.8404416982</v>
      </c>
      <c r="G638" s="34" t="n">
        <f aca="false">Inputs!$B$18*12*(1+G$531)^5+Inputs!$B$20*(1+Inputs!$B$15)^5</f>
        <v>35346.720477325</v>
      </c>
      <c r="H638" s="34" t="n">
        <f aca="false">Inputs!$B$18*12*(1+H$531)^5+Inputs!$B$20*(1+Inputs!$B$15)^5</f>
        <v>37048.1986840918</v>
      </c>
    </row>
    <row r="639" customFormat="false" ht="15" hidden="true" customHeight="true" outlineLevel="0" collapsed="false">
      <c r="B639" s="34" t="n">
        <f aca="false">Inputs!$B$18*12*(1+B$531)^6+Inputs!$B$20*(1+Inputs!$B$15)^6</f>
        <v>27766.5130741323</v>
      </c>
      <c r="C639" s="34" t="n">
        <f aca="false">Inputs!$B$18*12*(1+C$531)^6+Inputs!$B$20*(1+Inputs!$B$15)^6</f>
        <v>29456.3485708405</v>
      </c>
      <c r="D639" s="34" t="n">
        <f aca="false">Inputs!$B$18*12*(1+D$531)^6+Inputs!$B$20*(1+Inputs!$B$15)^6</f>
        <v>31231.9424064758</v>
      </c>
      <c r="E639" s="34" t="n">
        <f aca="false">Inputs!$B$18*12*(1+E$531)^6+Inputs!$B$20*(1+Inputs!$B$15)^6</f>
        <v>33096.7415551908</v>
      </c>
      <c r="F639" s="34" t="n">
        <f aca="false">Inputs!$B$18*12*(1+F$531)^6+Inputs!$B$20*(1+Inputs!$B$15)^6</f>
        <v>35054.2958741804</v>
      </c>
      <c r="G639" s="34" t="n">
        <f aca="false">Inputs!$B$18*12*(1+G$531)^6+Inputs!$B$20*(1+Inputs!$B$15)^6</f>
        <v>37108.2601308198</v>
      </c>
      <c r="H639" s="34" t="n">
        <f aca="false">Inputs!$B$18*12*(1+H$531)^6+Inputs!$B$20*(1+Inputs!$B$15)^6</f>
        <v>39262.3960495801</v>
      </c>
    </row>
    <row r="640" customFormat="false" ht="15" hidden="true" customHeight="true" outlineLevel="0" collapsed="false">
      <c r="B640" s="34" t="n">
        <f aca="false">Inputs!$B$18*12*(1+B$531)^7+Inputs!$B$20*(1+Inputs!$B$15)^7</f>
        <v>27775.4684663562</v>
      </c>
      <c r="C640" s="34" t="n">
        <f aca="false">Inputs!$B$18*12*(1+C$531)^7+Inputs!$B$20*(1+Inputs!$B$15)^7</f>
        <v>29756.8823180316</v>
      </c>
      <c r="D640" s="34" t="n">
        <f aca="false">Inputs!$B$18*12*(1+D$531)^7+Inputs!$B$20*(1+Inputs!$B$15)^7</f>
        <v>31859.5663853466</v>
      </c>
      <c r="E640" s="34" t="n">
        <f aca="false">Inputs!$B$18*12*(1+E$531)^7+Inputs!$B$20*(1+Inputs!$B$15)^7</f>
        <v>34089.6438018466</v>
      </c>
      <c r="F640" s="34" t="n">
        <f aca="false">Inputs!$B$18*12*(1+F$531)^7+Inputs!$B$20*(1+Inputs!$B$15)^7</f>
        <v>36453.4825784063</v>
      </c>
      <c r="G640" s="34" t="n">
        <f aca="false">Inputs!$B$18*12*(1+G$531)^7+Inputs!$B$20*(1+Inputs!$B$15)^7</f>
        <v>38957.7028758781</v>
      </c>
      <c r="H640" s="34" t="n">
        <f aca="false">Inputs!$B$18*12*(1+H$531)^7+Inputs!$B$20*(1+Inputs!$B$15)^7</f>
        <v>41609.1844203309</v>
      </c>
    </row>
    <row r="641" customFormat="false" ht="15" hidden="true" customHeight="true" outlineLevel="0" collapsed="false">
      <c r="B641" s="34" t="n">
        <f aca="false">Inputs!$B$18*12*(1+B$531)^8+Inputs!$B$20*(1+Inputs!$B$15)^8</f>
        <v>27784.6925203469</v>
      </c>
      <c r="C641" s="34" t="n">
        <f aca="false">Inputs!$B$18*12*(1+C$531)^8+Inputs!$B$20*(1+Inputs!$B$15)^8</f>
        <v>30060.600510539</v>
      </c>
      <c r="D641" s="34" t="n">
        <f aca="false">Inputs!$B$18*12*(1+D$531)^8+Inputs!$B$20*(1+Inputs!$B$15)^8</f>
        <v>32499.8323977171</v>
      </c>
      <c r="E641" s="34" t="n">
        <f aca="false">Inputs!$B$18*12*(1+E$531)^8+Inputs!$B$20*(1+Inputs!$B$15)^8</f>
        <v>35112.333115902</v>
      </c>
      <c r="F641" s="34" t="n">
        <f aca="false">Inputs!$B$18*12*(1+F$531)^8+Inputs!$B$20*(1+Inputs!$B$15)^8</f>
        <v>37908.547196879</v>
      </c>
      <c r="G641" s="34" t="n">
        <f aca="false">Inputs!$B$18*12*(1+G$531)^8+Inputs!$B$20*(1+Inputs!$B$15)^8</f>
        <v>40899.4386503449</v>
      </c>
      <c r="H641" s="34" t="n">
        <f aca="false">Inputs!$B$18*12*(1+H$531)^8+Inputs!$B$20*(1+Inputs!$B$15)^8</f>
        <v>44096.5114315601</v>
      </c>
    </row>
    <row r="642" customFormat="false" ht="15" hidden="true" customHeight="true" outlineLevel="0" collapsed="false">
      <c r="B642" s="34" t="n">
        <f aca="false">Inputs!$B$18*12*(1+B$531)^9+Inputs!$B$20*(1+Inputs!$B$15)^9</f>
        <v>27794.1932959573</v>
      </c>
      <c r="C642" s="34" t="n">
        <f aca="false">Inputs!$B$18*12*(1+C$531)^9+Inputs!$B$20*(1+Inputs!$B$15)^9</f>
        <v>30367.5403660513</v>
      </c>
      <c r="D642" s="34" t="n">
        <f aca="false">Inputs!$B$18*12*(1+D$531)^9+Inputs!$B$20*(1+Inputs!$B$15)^9</f>
        <v>33152.995970875</v>
      </c>
      <c r="E642" s="34" t="n">
        <f aca="false">Inputs!$B$18*12*(1+E$531)^9+Inputs!$B$20*(1+Inputs!$B$15)^9</f>
        <v>36165.703109379</v>
      </c>
      <c r="F642" s="34" t="n">
        <f aca="false">Inputs!$B$18*12*(1+F$531)^9+Inputs!$B$20*(1+Inputs!$B$15)^9</f>
        <v>39421.7221595507</v>
      </c>
      <c r="G642" s="34" t="n">
        <f aca="false">Inputs!$B$18*12*(1+G$531)^9+Inputs!$B$20*(1+Inputs!$B$15)^9</f>
        <v>42938.0767324552</v>
      </c>
      <c r="H642" s="34" t="n">
        <f aca="false">Inputs!$B$18*12*(1+H$531)^9+Inputs!$B$20*(1+Inputs!$B$15)^9</f>
        <v>46732.8013418433</v>
      </c>
    </row>
    <row r="643" customFormat="false" ht="15" hidden="true" customHeight="true" outlineLevel="0" collapsed="false">
      <c r="B643" s="34" t="n">
        <f aca="false">Inputs!$B$18*12*(1+B$531)^10+Inputs!$B$20*(1+Inputs!$B$15)^10</f>
        <v>27803.979094836</v>
      </c>
      <c r="C643" s="34" t="n">
        <f aca="false">Inputs!$B$18*12*(1+C$531)^10+Inputs!$B$20*(1+Inputs!$B$15)^10</f>
        <v>30677.739635631</v>
      </c>
      <c r="D643" s="34" t="n">
        <f aca="false">Inputs!$B$18*12*(1+D$531)^10+Inputs!$B$20*(1+Inputs!$B$15)^10</f>
        <v>33819.317823252</v>
      </c>
      <c r="E643" s="34" t="n">
        <f aca="false">Inputs!$B$18*12*(1+E$531)^10+Inputs!$B$20*(1+Inputs!$B$15)^10</f>
        <v>37250.6742026604</v>
      </c>
      <c r="F643" s="34" t="n">
        <f aca="false">Inputs!$B$18*12*(1+F$531)^10+Inputs!$B$20*(1+Inputs!$B$15)^10</f>
        <v>40995.3291129731</v>
      </c>
      <c r="G643" s="34" t="n">
        <f aca="false">Inputs!$B$18*12*(1+G$531)^10+Inputs!$B$20*(1+Inputs!$B$15)^10</f>
        <v>45078.4567031588</v>
      </c>
      <c r="H643" s="34" t="n">
        <f aca="false">Inputs!$B$18*12*(1+H$531)^10+Inputs!$B$20*(1+Inputs!$B$15)^10</f>
        <v>49526.9836234752</v>
      </c>
    </row>
    <row r="644" customFormat="false" ht="15" hidden="true" customHeight="true" outlineLevel="0" collapsed="false">
      <c r="B644" s="34" t="n">
        <f aca="false">Inputs!$B$18*12*(1+B$531)^11+Inputs!$B$20*(1+Inputs!$B$15)^11</f>
        <v>27814.0584676811</v>
      </c>
      <c r="C644" s="34" t="n">
        <f aca="false">Inputs!$B$18*12*(1+C$531)^11+Inputs!$B$20*(1+Inputs!$B$15)^11</f>
        <v>30991.236613884</v>
      </c>
      <c r="D644" s="34" t="n">
        <f aca="false">Inputs!$B$18*12*(1+D$531)^11+Inputs!$B$20*(1+Inputs!$B$15)^11</f>
        <v>34499.0639706654</v>
      </c>
      <c r="E644" s="34" t="n">
        <f aca="false">Inputs!$B$18*12*(1+E$531)^11+Inputs!$B$20*(1+Inputs!$B$15)^11</f>
        <v>38368.1944287402</v>
      </c>
      <c r="F644" s="34" t="n">
        <f aca="false">Inputs!$B$18*12*(1+F$531)^11+Inputs!$B$20*(1+Inputs!$B$15)^11</f>
        <v>42631.7824865437</v>
      </c>
      <c r="G644" s="34" t="n">
        <f aca="false">Inputs!$B$18*12*(1+G$531)^11+Inputs!$B$20*(1+Inputs!$B$15)^11</f>
        <v>47325.65995642</v>
      </c>
      <c r="H644" s="34" t="n">
        <f aca="false">Inputs!$B$18*12*(1+H$531)^11+Inputs!$B$20*(1+Inputs!$B$15)^11</f>
        <v>52488.5232680386</v>
      </c>
    </row>
    <row r="645" customFormat="false" ht="15" hidden="true" customHeight="true" outlineLevel="0" collapsed="false">
      <c r="B645" s="34" t="n">
        <f aca="false">Inputs!$B$18*12*(1+B$531)^12+Inputs!$B$20*(1+Inputs!$B$15)^12</f>
        <v>27824.4402217115</v>
      </c>
      <c r="C645" s="34" t="n">
        <f aca="false">Inputs!$B$18*12*(1+C$531)^12+Inputs!$B$20*(1+Inputs!$B$15)^12</f>
        <v>31308.0701493765</v>
      </c>
      <c r="D645" s="34" t="n">
        <f aca="false">Inputs!$B$18*12*(1+D$531)^12+Inputs!$B$20*(1+Inputs!$B$15)^12</f>
        <v>35192.5058347555</v>
      </c>
      <c r="E645" s="34" t="n">
        <f aca="false">Inputs!$B$18*12*(1+E$531)^12+Inputs!$B$20*(1+Inputs!$B$15)^12</f>
        <v>39519.2402616024</v>
      </c>
      <c r="F645" s="34" t="n">
        <f aca="false">Inputs!$B$18*12*(1+F$531)^12+Inputs!$B$20*(1+Inputs!$B$15)^12</f>
        <v>44333.5932013286</v>
      </c>
      <c r="G645" s="34" t="n">
        <f aca="false">Inputs!$B$18*12*(1+G$531)^12+Inputs!$B$20*(1+Inputs!$B$15)^12</f>
        <v>49685.0217848874</v>
      </c>
      <c r="H645" s="34" t="n">
        <f aca="false">Inputs!$B$18*12*(1+H$531)^12+Inputs!$B$20*(1+Inputs!$B$15)^12</f>
        <v>55627.4529100905</v>
      </c>
    </row>
    <row r="646" customFormat="false" ht="15" hidden="true" customHeight="true" outlineLevel="0" collapsed="false">
      <c r="B646" s="34" t="n">
        <f aca="false">Inputs!$B$18*12*(1+B$531)^13+Inputs!$B$20*(1+Inputs!$B$15)^13</f>
        <v>27835.1334283629</v>
      </c>
      <c r="C646" s="34" t="n">
        <f aca="false">Inputs!$B$18*12*(1+C$531)^13+Inputs!$B$20*(1+Inputs!$B$15)^13</f>
        <v>31628.2796553045</v>
      </c>
      <c r="D646" s="34" t="n">
        <f aca="false">Inputs!$B$18*12*(1+D$531)^13+Inputs!$B$20*(1+Inputs!$B$15)^13</f>
        <v>35899.9203536678</v>
      </c>
      <c r="E646" s="34" t="n">
        <f aca="false">Inputs!$B$18*12*(1+E$531)^13+Inputs!$B$20*(1+Inputs!$B$15)^13</f>
        <v>40704.8174694505</v>
      </c>
      <c r="F646" s="34" t="n">
        <f aca="false">Inputs!$B$18*12*(1+F$531)^13+Inputs!$B$20*(1+Inputs!$B$15)^13</f>
        <v>46103.3725271647</v>
      </c>
      <c r="G646" s="34" t="n">
        <f aca="false">Inputs!$B$18*12*(1+G$531)^13+Inputs!$B$20*(1+Inputs!$B$15)^13</f>
        <v>52162.1440696976</v>
      </c>
      <c r="H646" s="34" t="n">
        <f aca="false">Inputs!$B$18*12*(1+H$531)^13+Inputs!$B$20*(1+Inputs!$B$15)^13</f>
        <v>58954.4068780446</v>
      </c>
    </row>
    <row r="647" customFormat="false" ht="15" hidden="true" customHeight="true" outlineLevel="0" collapsed="false">
      <c r="B647" s="34" t="n">
        <f aca="false">Inputs!$B$18*12*(1+B$531)^14+Inputs!$B$20*(1+Inputs!$B$15)^14</f>
        <v>27846.1474312138</v>
      </c>
      <c r="C647" s="34" t="n">
        <f aca="false">Inputs!$B$18*12*(1+C$531)^14+Inputs!$B$20*(1+Inputs!$B$15)^14</f>
        <v>31951.9051204248</v>
      </c>
      <c r="D647" s="34" t="n">
        <f aca="false">Inputs!$B$18*12*(1+D$531)^14+Inputs!$B$20*(1+Inputs!$B$15)^14</f>
        <v>36621.5900950248</v>
      </c>
      <c r="E647" s="34" t="n">
        <f aca="false">Inputs!$B$18*12*(1+E$531)^14+Inputs!$B$20*(1+Inputs!$B$15)^14</f>
        <v>41925.961993534</v>
      </c>
      <c r="F647" s="34" t="n">
        <f aca="false">Inputs!$B$18*12*(1+F$531)^14+Inputs!$B$20*(1+Inputs!$B$15)^14</f>
        <v>47943.8360939676</v>
      </c>
      <c r="G647" s="34" t="n">
        <f aca="false">Inputs!$B$18*12*(1+G$531)^14+Inputs!$B$20*(1+Inputs!$B$15)^14</f>
        <v>54762.9086046152</v>
      </c>
      <c r="H647" s="34" t="n">
        <f aca="false">Inputs!$B$18*12*(1+H$531)^14+Inputs!$B$20*(1+Inputs!$B$15)^14</f>
        <v>62480.6572878764</v>
      </c>
    </row>
    <row r="648" customFormat="false" ht="15" hidden="true" customHeight="true" outlineLevel="0" collapsed="false">
      <c r="B648" s="34" t="n">
        <f aca="false">Inputs!$B$18*12*(1+B$531)^15+Inputs!$B$20*(1+Inputs!$B$15)^15</f>
        <v>27857.4918541502</v>
      </c>
      <c r="C648" s="34" t="n">
        <f aca="false">Inputs!$B$18*12*(1+C$531)^15+Inputs!$B$20*(1+Inputs!$B$15)^15</f>
        <v>32278.9871202533</v>
      </c>
      <c r="D648" s="34" t="n">
        <f aca="false">Inputs!$B$18*12*(1+D$531)^15+Inputs!$B$20*(1+Inputs!$B$15)^15</f>
        <v>37357.8033712374</v>
      </c>
      <c r="E648" s="34" t="n">
        <f aca="false">Inputs!$B$18*12*(1+E$531)^15+Inputs!$B$20*(1+Inputs!$B$15)^15</f>
        <v>43183.74085334</v>
      </c>
      <c r="F648" s="34" t="n">
        <f aca="false">Inputs!$B$18*12*(1+F$531)^15+Inputs!$B$20*(1+Inputs!$B$15)^15</f>
        <v>49857.8080634142</v>
      </c>
      <c r="G648" s="34" t="n">
        <f aca="false">Inputs!$B$18*12*(1+G$531)^15+Inputs!$B$20*(1+Inputs!$B$15)^15</f>
        <v>57493.4910862217</v>
      </c>
      <c r="H648" s="34" t="n">
        <f aca="false">Inputs!$B$18*12*(1+H$531)^15+Inputs!$B$20*(1+Inputs!$B$15)^15</f>
        <v>66218.1523022125</v>
      </c>
    </row>
    <row r="649" customFormat="false" ht="15" hidden="true" customHeight="true" outlineLevel="0" collapsed="false">
      <c r="B649" s="34" t="n">
        <f aca="false">Inputs!$B$18*12*(1+B$531)^16+Inputs!$B$20*(1+Inputs!$B$15)^16</f>
        <v>27869.1766097747</v>
      </c>
      <c r="C649" s="34" t="n">
        <f aca="false">Inputs!$B$18*12*(1+C$531)^16+Inputs!$B$20*(1+Inputs!$B$15)^16</f>
        <v>32609.5668285389</v>
      </c>
      <c r="D649" s="34" t="n">
        <f aca="false">Inputs!$B$18*12*(1+D$531)^16+Inputs!$B$20*(1+Inputs!$B$15)^16</f>
        <v>38108.8543572036</v>
      </c>
      <c r="E649" s="34" t="n">
        <f aca="false">Inputs!$B$18*12*(1+E$531)^16+Inputs!$B$20*(1+Inputs!$B$15)^16</f>
        <v>44479.2530789402</v>
      </c>
      <c r="F649" s="34" t="n">
        <f aca="false">Inputs!$B$18*12*(1+F$531)^16+Inputs!$B$20*(1+Inputs!$B$15)^16</f>
        <v>51848.2254674092</v>
      </c>
      <c r="G649" s="34" t="n">
        <f aca="false">Inputs!$B$18*12*(1+G$531)^16+Inputs!$B$20*(1+Inputs!$B$15)^16</f>
        <v>60360.3758034497</v>
      </c>
      <c r="H649" s="34" t="n">
        <f aca="false">Inputs!$B$18*12*(1+H$531)^16+Inputs!$B$20*(1+Inputs!$B$15)^16</f>
        <v>70179.5566847208</v>
      </c>
    </row>
    <row r="650" customFormat="false" ht="15" hidden="true" customHeight="true" outlineLevel="0" collapsed="false">
      <c r="B650" s="34" t="n">
        <f aca="false">Inputs!$B$18*12*(1+B$531)^17+Inputs!$B$20*(1+Inputs!$B$15)^17</f>
        <v>27881.2119080679</v>
      </c>
      <c r="C650" s="34" t="n">
        <f aca="false">Inputs!$B$18*12*(1+C$531)^17+Inputs!$B$20*(1+Inputs!$B$15)^17</f>
        <v>32943.6860290197</v>
      </c>
      <c r="D650" s="34" t="n">
        <f aca="false">Inputs!$B$18*12*(1+D$531)^17+Inputs!$B$20*(1+Inputs!$B$15)^17</f>
        <v>38875.0432104455</v>
      </c>
      <c r="E650" s="34" t="n">
        <f aca="false">Inputs!$B$18*12*(1+E$531)^17+Inputs!$B$20*(1+Inputs!$B$15)^17</f>
        <v>45813.6306713084</v>
      </c>
      <c r="F650" s="34" t="n">
        <f aca="false">Inputs!$B$18*12*(1+F$531)^17+Inputs!$B$20*(1+Inputs!$B$15)^17</f>
        <v>53918.1427200079</v>
      </c>
      <c r="G650" s="34" t="n">
        <f aca="false">Inputs!$B$18*12*(1+G$531)^17+Inputs!$B$20*(1+Inputs!$B$15)^17</f>
        <v>63370.3710614267</v>
      </c>
      <c r="H650" s="34" t="n">
        <f aca="false">Inputs!$B$18*12*(1+H$531)^17+Inputs!$B$20*(1+Inputs!$B$15)^17</f>
        <v>74378.2947875108</v>
      </c>
    </row>
    <row r="651" customFormat="false" ht="15" hidden="true" customHeight="true" outlineLevel="0" collapsed="false">
      <c r="B651" s="34" t="n">
        <f aca="false">Inputs!$B$18*12*(1+B$531)^18+Inputs!$B$20*(1+Inputs!$B$15)^18</f>
        <v>27893.60826531</v>
      </c>
      <c r="C651" s="34" t="n">
        <f aca="false">Inputs!$B$18*12*(1+C$531)^18+Inputs!$B$20*(1+Inputs!$B$15)^18</f>
        <v>33281.3871274713</v>
      </c>
      <c r="D651" s="34" t="n">
        <f aca="false">Inputs!$B$18*12*(1+D$531)^18+Inputs!$B$20*(1+Inputs!$B$15)^18</f>
        <v>39656.6761937351</v>
      </c>
      <c r="E651" s="34" t="n">
        <f aca="false">Inputs!$B$18*12*(1+E$531)^18+Inputs!$B$20*(1+Inputs!$B$15)^18</f>
        <v>47188.0395914477</v>
      </c>
      <c r="F651" s="34" t="n">
        <f aca="false">Inputs!$B$18*12*(1+F$531)^18+Inputs!$B$20*(1+Inputs!$B$15)^18</f>
        <v>56070.7363097275</v>
      </c>
      <c r="G651" s="34" t="n">
        <f aca="false">Inputs!$B$18*12*(1+G$531)^18+Inputs!$B$20*(1+Inputs!$B$15)^18</f>
        <v>66530.6253763367</v>
      </c>
      <c r="H651" s="34" t="n">
        <f aca="false">Inputs!$B$18*12*(1+H$531)^18+Inputs!$B$20*(1+Inputs!$B$15)^18</f>
        <v>78828.5961175194</v>
      </c>
    </row>
    <row r="652" customFormat="false" ht="15" hidden="true" customHeight="true" outlineLevel="0" collapsed="false">
      <c r="B652" s="34" t="n">
        <f aca="false">Inputs!$B$18*12*(1+B$531)^19+Inputs!$B$20*(1+Inputs!$B$15)^19</f>
        <v>27906.3765132693</v>
      </c>
      <c r="C652" s="34" t="n">
        <f aca="false">Inputs!$B$18*12*(1+C$531)^19+Inputs!$B$20*(1+Inputs!$B$15)^19</f>
        <v>33622.7131640522</v>
      </c>
      <c r="D652" s="34" t="n">
        <f aca="false">Inputs!$B$18*12*(1+D$531)^19+Inputs!$B$20*(1+Inputs!$B$15)^19</f>
        <v>40454.0658002629</v>
      </c>
      <c r="E652" s="34" t="n">
        <f aca="false">Inputs!$B$18*12*(1+E$531)^19+Inputs!$B$20*(1+Inputs!$B$15)^19</f>
        <v>48603.6807791911</v>
      </c>
      <c r="F652" s="34" t="n">
        <f aca="false">Inputs!$B$18*12*(1+F$531)^19+Inputs!$B$20*(1+Inputs!$B$15)^19</f>
        <v>58309.3096794635</v>
      </c>
      <c r="G652" s="34" t="n">
        <f aca="false">Inputs!$B$18*12*(1+G$531)^19+Inputs!$B$20*(1+Inputs!$B$15)^19</f>
        <v>69848.6444798474</v>
      </c>
      <c r="H652" s="34" t="n">
        <f aca="false">Inputs!$B$18*12*(1+H$531)^19+Inputs!$B$20*(1+Inputs!$B$15)^19</f>
        <v>83545.5436366113</v>
      </c>
    </row>
    <row r="653" customFormat="false" ht="15" hidden="true" customHeight="true" outlineLevel="0" collapsed="false">
      <c r="B653" s="34" t="n">
        <f aca="false">Inputs!$B$18*12*(1+B$531)^20+Inputs!$B$20*(1+Inputs!$B$15)^20</f>
        <v>27919.5278086674</v>
      </c>
      <c r="C653" s="34" t="n">
        <f aca="false">Inputs!$B$18*12*(1+C$531)^20+Inputs!$B$20*(1+Inputs!$B$15)^20</f>
        <v>33967.7078259581</v>
      </c>
      <c r="D653" s="34" t="n">
        <f aca="false">Inputs!$B$18*12*(1+D$531)^20+Inputs!$B$20*(1+Inputs!$B$15)^20</f>
        <v>41267.5308814008</v>
      </c>
      <c r="E653" s="34" t="n">
        <f aca="false">Inputs!$B$18*12*(1+E$531)^20+Inputs!$B$20*(1+Inputs!$B$15)^20</f>
        <v>50061.7912025668</v>
      </c>
      <c r="F653" s="34" t="n">
        <f aca="false">Inputs!$B$18*12*(1+F$531)^20+Inputs!$B$20*(1+Inputs!$B$15)^20</f>
        <v>60637.2983015094</v>
      </c>
      <c r="G653" s="34" t="n">
        <f aca="false">Inputs!$B$18*12*(1+G$531)^20+Inputs!$B$20*(1+Inputs!$B$15)^20</f>
        <v>73332.3091735743</v>
      </c>
      <c r="H653" s="34" t="n">
        <f aca="false">Inputs!$B$18*12*(1+H$531)^20+Inputs!$B$20*(1+Inputs!$B$15)^20</f>
        <v>88545.1249594099</v>
      </c>
    </row>
    <row r="654" customFormat="false" ht="15" hidden="true" customHeight="true" outlineLevel="0" collapsed="false">
      <c r="B654" s="34" t="n">
        <f aca="false">Inputs!$B$18*12*(1+B$531)^21+Inputs!$B$20*(1+Inputs!$B$15)^21</f>
        <v>27933.0736429274</v>
      </c>
      <c r="C654" s="34" t="n">
        <f aca="false">Inputs!$B$18*12*(1+C$531)^21+Inputs!$B$20*(1+Inputs!$B$15)^21</f>
        <v>34316.415460391</v>
      </c>
      <c r="D654" s="34" t="n">
        <f aca="false">Inputs!$B$18*12*(1+D$531)^21+Inputs!$B$20*(1+Inputs!$B$15)^21</f>
        <v>42097.3967771155</v>
      </c>
      <c r="E654" s="34" t="n">
        <f aca="false">Inputs!$B$18*12*(1+E$531)^21+Inputs!$B$20*(1+Inputs!$B$15)^21</f>
        <v>51563.6449386439</v>
      </c>
      <c r="F654" s="34" t="n">
        <f aca="false">Inputs!$B$18*12*(1+F$531)^21+Inputs!$B$20*(1+Inputs!$B$15)^21</f>
        <v>63058.2749554831</v>
      </c>
      <c r="G654" s="34" t="n">
        <f aca="false">Inputs!$B$18*12*(1+G$531)^21+Inputs!$B$20*(1+Inputs!$B$15)^21</f>
        <v>76989.8940760797</v>
      </c>
      <c r="H654" s="34" t="n">
        <f aca="false">Inputs!$B$18*12*(1+H$531)^21+Inputs!$B$20*(1+Inputs!$B$15)^21</f>
        <v>93844.2866227144</v>
      </c>
    </row>
    <row r="655" customFormat="false" ht="15" hidden="true" customHeight="true" outlineLevel="0" collapsed="false">
      <c r="B655" s="34" t="n">
        <f aca="false">Inputs!$B$18*12*(1+B$531)^22+Inputs!$B$20*(1+Inputs!$B$15)^22</f>
        <v>27947.0258522152</v>
      </c>
      <c r="C655" s="34" t="n">
        <f aca="false">Inputs!$B$18*12*(1+C$531)^22+Inputs!$B$20*(1+Inputs!$B$15)^22</f>
        <v>34668.8810878535</v>
      </c>
      <c r="D655" s="34" t="n">
        <f aca="false">Inputs!$B$18*12*(1+D$531)^22+Inputs!$B$20*(1+Inputs!$B$15)^22</f>
        <v>42943.9954490871</v>
      </c>
      <c r="E655" s="34" t="n">
        <f aca="false">Inputs!$B$18*12*(1+E$531)^22+Inputs!$B$20*(1+Inputs!$B$15)^22</f>
        <v>53110.5542868032</v>
      </c>
      <c r="F655" s="34" t="n">
        <f aca="false">Inputs!$B$18*12*(1+F$531)^22+Inputs!$B$20*(1+Inputs!$B$15)^22</f>
        <v>65575.9552172731</v>
      </c>
      <c r="G655" s="34" t="n">
        <f aca="false">Inputs!$B$18*12*(1+G$531)^22+Inputs!$B$20*(1+Inputs!$B$15)^22</f>
        <v>80830.0873070252</v>
      </c>
      <c r="H655" s="34" t="n">
        <f aca="false">Inputs!$B$18*12*(1+H$531)^22+Inputs!$B$20*(1+Inputs!$B$15)^22</f>
        <v>99460.9916107895</v>
      </c>
    </row>
    <row r="656" customFormat="false" ht="15" hidden="true" customHeight="true" outlineLevel="0" collapsed="false">
      <c r="B656" s="34" t="n">
        <f aca="false">Inputs!$B$18*12*(1+B$531)^23+Inputs!$B$20*(1+Inputs!$B$15)^23</f>
        <v>27961.3966277817</v>
      </c>
      <c r="C656" s="34" t="n">
        <f aca="false">Inputs!$B$18*12*(1+C$531)^23+Inputs!$B$20*(1+Inputs!$B$15)^23</f>
        <v>35025.1504157763</v>
      </c>
      <c r="D656" s="34" t="n">
        <f aca="false">Inputs!$B$18*12*(1+D$531)^23+Inputs!$B$20*(1+Inputs!$B$15)^23</f>
        <v>43807.665616591</v>
      </c>
      <c r="E656" s="34" t="n">
        <f aca="false">Inputs!$B$18*12*(1+E$531)^23+Inputs!$B$20*(1+Inputs!$B$15)^23</f>
        <v>54703.8709154073</v>
      </c>
      <c r="F656" s="34" t="n">
        <f aca="false">Inputs!$B$18*12*(1+F$531)^23+Inputs!$B$20*(1+Inputs!$B$15)^23</f>
        <v>68194.2031674419</v>
      </c>
      <c r="G656" s="34" t="n">
        <f aca="false">Inputs!$B$18*12*(1+G$531)^23+Inputs!$B$20*(1+Inputs!$B$15)^23</f>
        <v>84862.0111553321</v>
      </c>
      <c r="H656" s="34" t="n">
        <f aca="false">Inputs!$B$18*12*(1+H$531)^23+Inputs!$B$20*(1+Inputs!$B$15)^23</f>
        <v>105414.28033187</v>
      </c>
    </row>
    <row r="657" customFormat="false" ht="15" hidden="true" customHeight="true" outlineLevel="0" collapsed="false">
      <c r="B657" s="34" t="n">
        <f aca="false">Inputs!$B$18*12*(1+B$531)^24+Inputs!$B$20*(1+Inputs!$B$15)^24</f>
        <v>27976.1985266151</v>
      </c>
      <c r="C657" s="34" t="n">
        <f aca="false">Inputs!$B$18*12*(1+C$531)^24+Inputs!$B$20*(1+Inputs!$B$15)^24</f>
        <v>35385.2698524897</v>
      </c>
      <c r="D657" s="34" t="n">
        <f aca="false">Inputs!$B$18*12*(1+D$531)^24+Inputs!$B$20*(1+Inputs!$B$15)^24</f>
        <v>44688.7528952006</v>
      </c>
      <c r="E657" s="34" t="n">
        <f aca="false">Inputs!$B$18*12*(1+E$531)^24+Inputs!$B$20*(1+Inputs!$B$15)^24</f>
        <v>56344.9870428695</v>
      </c>
      <c r="F657" s="34" t="n">
        <f aca="false">Inputs!$B$18*12*(1+F$531)^24+Inputs!$B$20*(1+Inputs!$B$15)^24</f>
        <v>70917.0373278618</v>
      </c>
      <c r="G657" s="34" t="n">
        <f aca="false">Inputs!$B$18*12*(1+G$531)^24+Inputs!$B$20*(1+Inputs!$B$15)^24</f>
        <v>89095.2437805431</v>
      </c>
      <c r="H657" s="34" t="n">
        <f aca="false">Inputs!$B$18*12*(1+H$531)^24+Inputs!$B$20*(1+Inputs!$B$15)^24</f>
        <v>111724.335252949</v>
      </c>
    </row>
    <row r="658" customFormat="false" ht="15" hidden="true" customHeight="true" outlineLevel="0" collapsed="false">
      <c r="B658" s="34" t="n">
        <f aca="false">Inputs!$B$18*12*(1+B$531)^25+Inputs!$B$20*(1+Inputs!$B$15)^25</f>
        <v>27991.4444824136</v>
      </c>
      <c r="C658" s="34" t="n">
        <f aca="false">Inputs!$B$18*12*(1+C$531)^25+Inputs!$B$20*(1+Inputs!$B$15)^25</f>
        <v>35749.2865215469</v>
      </c>
      <c r="D658" s="34" t="n">
        <f aca="false">Inputs!$B$18*12*(1+D$531)^25+Inputs!$B$20*(1+Inputs!$B$15)^25</f>
        <v>45587.6099383708</v>
      </c>
      <c r="E658" s="34" t="n">
        <f aca="false">Inputs!$B$18*12*(1+E$531)^25+Inputs!$B$20*(1+Inputs!$B$15)^25</f>
        <v>58035.3366541556</v>
      </c>
      <c r="F658" s="34" t="n">
        <f aca="false">Inputs!$B$18*12*(1+F$531)^25+Inputs!$B$20*(1+Inputs!$B$15)^25</f>
        <v>73748.6368357101</v>
      </c>
      <c r="G658" s="34" t="n">
        <f aca="false">Inputs!$B$18*12*(1+G$531)^25+Inputs!$B$20*(1+Inputs!$B$15)^25</f>
        <v>93539.841999038</v>
      </c>
      <c r="H658" s="34" t="n">
        <f aca="false">Inputs!$B$18*12*(1+H$531)^25+Inputs!$B$20*(1+Inputs!$B$15)^25</f>
        <v>118412.549412328</v>
      </c>
    </row>
    <row r="659" customFormat="false" ht="15" hidden="true" customHeight="true" outlineLevel="0" collapsed="false">
      <c r="B659" s="34" t="n">
        <f aca="false">Inputs!$B$18*12*(1+B$531)^26+Inputs!$B$20*(1+Inputs!$B$15)^26</f>
        <v>28007.147816886</v>
      </c>
      <c r="C659" s="34" t="n">
        <f aca="false">Inputs!$B$18*12*(1+C$531)^26+Inputs!$B$20*(1+Inputs!$B$15)^26</f>
        <v>36117.2482764107</v>
      </c>
      <c r="D659" s="34" t="n">
        <f aca="false">Inputs!$B$18*12*(1+D$531)^26+Inputs!$B$20*(1+Inputs!$B$15)^26</f>
        <v>46504.5965819623</v>
      </c>
      <c r="E659" s="34" t="n">
        <f aca="false">Inputs!$B$18*12*(1+E$531)^26+Inputs!$B$20*(1+Inputs!$B$15)^26</f>
        <v>59776.3967537802</v>
      </c>
      <c r="F659" s="34" t="n">
        <f aca="false">Inputs!$B$18*12*(1+F$531)^26+Inputs!$B$20*(1+Inputs!$B$15)^26</f>
        <v>76693.3478643143</v>
      </c>
      <c r="G659" s="34" t="n">
        <f aca="false">Inputs!$B$18*12*(1+G$531)^26+Inputs!$B$20*(1+Inputs!$B$15)^26</f>
        <v>98206.3652093416</v>
      </c>
      <c r="H659" s="34" t="n">
        <f aca="false">Inputs!$B$18*12*(1+H$531)^26+Inputs!$B$20*(1+Inputs!$B$15)^26</f>
        <v>125501.599042595</v>
      </c>
    </row>
    <row r="660" customFormat="false" ht="15" hidden="true" customHeight="true" outlineLevel="0" collapsed="false">
      <c r="B660" s="34" t="n">
        <f aca="false">Inputs!$B$18*12*(1+B$531)^27+Inputs!$B$20*(1+Inputs!$B$15)^27</f>
        <v>28023.3222513925</v>
      </c>
      <c r="C660" s="34" t="n">
        <f aca="false">Inputs!$B$18*12*(1+C$531)^27+Inputs!$B$20*(1+Inputs!$B$15)^27</f>
        <v>36489.2037155125</v>
      </c>
      <c r="D660" s="34" t="n">
        <f aca="false">Inputs!$B$18*12*(1+D$531)^27+Inputs!$B$20*(1+Inputs!$B$15)^27</f>
        <v>47440.0799917704</v>
      </c>
      <c r="E660" s="34" t="n">
        <f aca="false">Inputs!$B$18*12*(1+E$531)^27+Inputs!$B$20*(1+Inputs!$B$15)^27</f>
        <v>61569.6886563937</v>
      </c>
      <c r="F660" s="34" t="n">
        <f aca="false">Inputs!$B$18*12*(1+F$531)^27+Inputs!$B$20*(1+Inputs!$B$15)^27</f>
        <v>79755.6903007181</v>
      </c>
      <c r="G660" s="34" t="n">
        <f aca="false">Inputs!$B$18*12*(1+G$531)^27+Inputs!$B$20*(1+Inputs!$B$15)^27</f>
        <v>103105.900513471</v>
      </c>
      <c r="H660" s="34" t="n">
        <f aca="false">Inputs!$B$18*12*(1+H$531)^27+Inputs!$B$20*(1+Inputs!$B$15)^27</f>
        <v>133015.520550644</v>
      </c>
    </row>
    <row r="661" customFormat="false" ht="15" hidden="true" customHeight="true" outlineLevel="0" collapsed="false">
      <c r="B661" s="34" t="n">
        <f aca="false">Inputs!$B$18*12*(1+B$531)^28+Inputs!$B$20*(1+Inputs!$B$15)^28</f>
        <v>28039.9819189343</v>
      </c>
      <c r="C661" s="34" t="n">
        <f aca="false">Inputs!$B$18*12*(1+C$531)^28+Inputs!$B$20*(1+Inputs!$B$15)^28</f>
        <v>36865.2021976955</v>
      </c>
      <c r="D661" s="34" t="n">
        <f aca="false">Inputs!$B$18*12*(1+D$531)^28+Inputs!$B$20*(1+Inputs!$B$15)^28</f>
        <v>48394.4348141198</v>
      </c>
      <c r="E661" s="34" t="n">
        <f aca="false">Inputs!$B$18*12*(1+E$531)^28+Inputs!$B$20*(1+Inputs!$B$15)^28</f>
        <v>63416.7793160855</v>
      </c>
      <c r="F661" s="34" t="n">
        <f aca="false">Inputs!$B$18*12*(1+F$531)^28+Inputs!$B$20*(1+Inputs!$B$15)^28</f>
        <v>82940.3646902329</v>
      </c>
      <c r="G661" s="34" t="n">
        <f aca="false">Inputs!$B$18*12*(1+G$531)^28+Inputs!$B$20*(1+Inputs!$B$15)^28</f>
        <v>108250.089094117</v>
      </c>
      <c r="H661" s="34" t="n">
        <f aca="false">Inputs!$B$18*12*(1+H$531)^28+Inputs!$B$20*(1+Inputs!$B$15)^28</f>
        <v>140979.792116141</v>
      </c>
    </row>
    <row r="662" customFormat="false" ht="15" hidden="true" customHeight="true" outlineLevel="0" collapsed="false">
      <c r="B662" s="34" t="n">
        <f aca="false">Inputs!$B$18*12*(1+B$531)^29+Inputs!$B$20*(1+Inputs!$B$15)^29</f>
        <v>28057.1413765023</v>
      </c>
      <c r="C662" s="34" t="n">
        <f aca="false">Inputs!$B$18*12*(1+C$531)^29+Inputs!$B$20*(1+Inputs!$B$15)^29</f>
        <v>37245.2938580511</v>
      </c>
      <c r="D662" s="34" t="n">
        <f aca="false">Inputs!$B$18*12*(1+D$531)^29+Inputs!$B$20*(1+Inputs!$B$15)^29</f>
        <v>49368.0433295915</v>
      </c>
      <c r="E662" s="34" t="n">
        <f aca="false">Inputs!$B$18*12*(1+E$531)^29+Inputs!$B$20*(1+Inputs!$B$15)^29</f>
        <v>65319.282695568</v>
      </c>
      <c r="F662" s="34" t="n">
        <f aca="false">Inputs!$B$18*12*(1+F$531)^29+Inputs!$B$20*(1+Inputs!$B$15)^29</f>
        <v>86252.2594586528</v>
      </c>
      <c r="G662" s="34" t="n">
        <f aca="false">Inputs!$B$18*12*(1+G$531)^29+Inputs!$B$20*(1+Inputs!$B$15)^29</f>
        <v>113651.153910444</v>
      </c>
      <c r="H662" s="34" t="n">
        <f aca="false">Inputs!$B$18*12*(1+H$531)^29+Inputs!$B$20*(1+Inputs!$B$15)^29</f>
        <v>149421.420185541</v>
      </c>
    </row>
    <row r="663" customFormat="false" ht="15" hidden="true" customHeight="true" outlineLevel="0" collapsed="false"/>
    <row r="664" customFormat="false" ht="15" hidden="true" customHeight="true" outlineLevel="0" collapsed="false">
      <c r="A664" s="33" t="s">
        <v>95</v>
      </c>
      <c r="B664" s="34" t="n">
        <f aca="false">Inputs!$B$4*Inputs!$B$5+Inputs!$B$4*Inputs!$B$8</f>
        <v>98693</v>
      </c>
      <c r="C664" s="34" t="n">
        <f aca="false">Inputs!$B$4*Inputs!$B$5+Inputs!$B$4*Inputs!$B$8</f>
        <v>98693</v>
      </c>
      <c r="D664" s="34" t="n">
        <f aca="false">Inputs!$B$4*Inputs!$B$5+Inputs!$B$4*Inputs!$B$8</f>
        <v>98693</v>
      </c>
      <c r="E664" s="34" t="n">
        <f aca="false">Inputs!$B$4*Inputs!$B$5+Inputs!$B$4*Inputs!$B$8</f>
        <v>98693</v>
      </c>
      <c r="F664" s="34" t="n">
        <f aca="false">Inputs!$B$4*Inputs!$B$5+Inputs!$B$4*Inputs!$B$8</f>
        <v>98693</v>
      </c>
      <c r="G664" s="34" t="n">
        <f aca="false">Inputs!$B$4*Inputs!$B$5+Inputs!$B$4*Inputs!$B$8</f>
        <v>98693</v>
      </c>
      <c r="H664" s="34" t="n">
        <f aca="false">Inputs!$B$4*Inputs!$B$5+Inputs!$B$4*Inputs!$B$8</f>
        <v>98693</v>
      </c>
    </row>
    <row r="665" customFormat="false" ht="15" hidden="true" customHeight="true" outlineLevel="0" collapsed="false">
      <c r="B665" s="34" t="n">
        <f aca="false">B664*(1+Inputs!$B$23)+MAX(B601-B633,0)</f>
        <v>116292.847069895</v>
      </c>
      <c r="C665" s="34" t="n">
        <f aca="false">C664*(1+Inputs!$B$23)+MAX(C601-C633,0)</f>
        <v>116292.847069895</v>
      </c>
      <c r="D665" s="34" t="n">
        <f aca="false">D664*(1+Inputs!$B$23)+MAX(D601-D633,0)</f>
        <v>116292.847069895</v>
      </c>
      <c r="E665" s="34" t="n">
        <f aca="false">E664*(1+Inputs!$B$23)+MAX(E601-E633,0)</f>
        <v>116292.847069895</v>
      </c>
      <c r="F665" s="34" t="n">
        <f aca="false">F664*(1+Inputs!$B$23)+MAX(F601-F633,0)</f>
        <v>116292.847069895</v>
      </c>
      <c r="G665" s="34" t="n">
        <f aca="false">G664*(1+Inputs!$B$23)+MAX(G601-G633,0)</f>
        <v>116292.847069895</v>
      </c>
      <c r="H665" s="34" t="n">
        <f aca="false">H664*(1+Inputs!$B$23)+MAX(H601-H633,0)</f>
        <v>116292.847069895</v>
      </c>
    </row>
    <row r="666" customFormat="false" ht="15" hidden="true" customHeight="true" outlineLevel="0" collapsed="false">
      <c r="B666" s="34" t="n">
        <f aca="false">B665*(1+Inputs!$B$23)+MAX(B602-B634,0)</f>
        <v>135277.517963984</v>
      </c>
      <c r="C666" s="34" t="n">
        <f aca="false">C665*(1+Inputs!$B$23)+MAX(C602-C634,0)</f>
        <v>135002.837963984</v>
      </c>
      <c r="D666" s="34" t="n">
        <f aca="false">D665*(1+Inputs!$B$23)+MAX(D602-D634,0)</f>
        <v>134728.157963983</v>
      </c>
      <c r="E666" s="34" t="n">
        <f aca="false">E665*(1+Inputs!$B$23)+MAX(E602-E634,0)</f>
        <v>134453.477963984</v>
      </c>
      <c r="F666" s="34" t="n">
        <f aca="false">F665*(1+Inputs!$B$23)+MAX(F602-F634,0)</f>
        <v>134178.797963984</v>
      </c>
      <c r="G666" s="34" t="n">
        <f aca="false">G665*(1+Inputs!$B$23)+MAX(G602-G634,0)</f>
        <v>133904.117963984</v>
      </c>
      <c r="H666" s="34" t="n">
        <f aca="false">H665*(1+Inputs!$B$23)+MAX(H602-H634,0)</f>
        <v>133629.437963984</v>
      </c>
    </row>
    <row r="667" customFormat="false" ht="15" hidden="true" customHeight="true" outlineLevel="0" collapsed="false">
      <c r="B667" s="34" t="n">
        <f aca="false">B666*(1+Inputs!$B$23)+MAX(B603-B635,0)</f>
        <v>155739.967101717</v>
      </c>
      <c r="C667" s="34" t="n">
        <f aca="false">C666*(1+Inputs!$B$23)+MAX(C603-C635,0)</f>
        <v>154896.699501717</v>
      </c>
      <c r="D667" s="34" t="n">
        <f aca="false">D666*(1+Inputs!$B$23)+MAX(D603-D635,0)</f>
        <v>154047.938301717</v>
      </c>
      <c r="E667" s="34" t="n">
        <f aca="false">E666*(1+Inputs!$B$23)+MAX(E603-E635,0)</f>
        <v>153193.683501717</v>
      </c>
      <c r="F667" s="34" t="n">
        <f aca="false">F666*(1+Inputs!$B$23)+MAX(F603-F635,0)</f>
        <v>152333.935101717</v>
      </c>
      <c r="G667" s="34" t="n">
        <f aca="false">G666*(1+Inputs!$B$23)+MAX(G603-G635,0)</f>
        <v>151468.693101717</v>
      </c>
      <c r="H667" s="34" t="n">
        <f aca="false">H666*(1+Inputs!$B$23)+MAX(H603-H635,0)</f>
        <v>150597.957501717</v>
      </c>
    </row>
    <row r="668" customFormat="false" ht="15" hidden="true" customHeight="true" outlineLevel="0" collapsed="false">
      <c r="B668" s="34" t="n">
        <f aca="false">B667*(1+Inputs!$B$23)+MAX(B604-B636,0)</f>
        <v>177779.022117415</v>
      </c>
      <c r="C668" s="34" t="n">
        <f aca="false">C667*(1+Inputs!$B$23)+MAX(C604-C636,0)</f>
        <v>176052.850593415</v>
      </c>
      <c r="D668" s="34" t="n">
        <f aca="false">D667*(1+Inputs!$B$23)+MAX(D604-D636,0)</f>
        <v>174304.210245415</v>
      </c>
      <c r="E668" s="34" t="n">
        <f aca="false">E667*(1+Inputs!$B$23)+MAX(E604-E636,0)</f>
        <v>172532.936265415</v>
      </c>
      <c r="F668" s="34" t="n">
        <f aca="false">F667*(1+Inputs!$B$23)+MAX(F604-F636,0)</f>
        <v>170738.863845415</v>
      </c>
      <c r="G668" s="34" t="n">
        <f aca="false">G667*(1+Inputs!$B$23)+MAX(G604-G636,0)</f>
        <v>168921.828177415</v>
      </c>
      <c r="H668" s="34" t="n">
        <f aca="false">H667*(1+Inputs!$B$23)+MAX(H604-H636,0)</f>
        <v>167081.664453415</v>
      </c>
    </row>
    <row r="669" customFormat="false" ht="15" hidden="true" customHeight="true" outlineLevel="0" collapsed="false">
      <c r="B669" s="34" t="n">
        <f aca="false">B668*(1+Inputs!$B$23)+MAX(B605-B637,0)</f>
        <v>201499.745131646</v>
      </c>
      <c r="C669" s="34" t="n">
        <f aca="false">C668*(1+Inputs!$B$23)+MAX(C605-C637,0)</f>
        <v>198554.692369526</v>
      </c>
      <c r="D669" s="34" t="n">
        <f aca="false">D668*(1+Inputs!$B$23)+MAX(D605-D637,0)</f>
        <v>195552.197976446</v>
      </c>
      <c r="E669" s="34" t="n">
        <f aca="false">E668*(1+Inputs!$B$23)+MAX(E605-E637,0)</f>
        <v>192491.418135446</v>
      </c>
      <c r="F669" s="34" t="n">
        <f aca="false">F668*(1+Inputs!$B$23)+MAX(F605-F637,0)</f>
        <v>189371.502437246</v>
      </c>
      <c r="G669" s="34" t="n">
        <f aca="false">G668*(1+Inputs!$B$23)+MAX(G605-G637,0)</f>
        <v>186191.593880246</v>
      </c>
      <c r="H669" s="34" t="n">
        <f aca="false">H668*(1+Inputs!$B$23)+MAX(H605-H637,0)</f>
        <v>182950.828870526</v>
      </c>
    </row>
    <row r="670" customFormat="false" ht="15" hidden="true" customHeight="true" outlineLevel="0" collapsed="false">
      <c r="B670" s="34" t="n">
        <f aca="false">B669*(1+Inputs!$B$23)+MAX(B606-B638,0)</f>
        <v>227013.81596525</v>
      </c>
      <c r="C670" s="34" t="n">
        <f aca="false">C669*(1+Inputs!$B$23)+MAX(C606-C638,0)</f>
        <v>222490.915981256</v>
      </c>
      <c r="D670" s="34" t="n">
        <f aca="false">D669*(1+Inputs!$B$23)+MAX(D606-D638,0)</f>
        <v>217850.52447844</v>
      </c>
      <c r="E670" s="34" t="n">
        <f aca="false">E669*(1+Inputs!$B$23)+MAX(E606-E638,0)</f>
        <v>213090.049076405</v>
      </c>
      <c r="F670" s="34" t="n">
        <f aca="false">F669*(1+Inputs!$B$23)+MAX(F606-F638,0)</f>
        <v>208206.856786062</v>
      </c>
      <c r="G670" s="34" t="n">
        <f aca="false">G669*(1+Inputs!$B$23)+MAX(G606-G638,0)</f>
        <v>203198.273680016</v>
      </c>
      <c r="H670" s="34" t="n">
        <f aca="false">H669*(1+Inputs!$B$23)+MAX(H606-H638,0)</f>
        <v>198061.584562946</v>
      </c>
    </row>
    <row r="671" customFormat="false" ht="15" hidden="true" customHeight="true" outlineLevel="0" collapsed="false">
      <c r="B671" s="34" t="n">
        <f aca="false">B670*(1+Inputs!$B$23)+MAX(B607-B639,0)</f>
        <v>254439.938620544</v>
      </c>
      <c r="C671" s="34" t="n">
        <f aca="false">C670*(1+Inputs!$B$23)+MAX(C607-C639,0)</f>
        <v>247955.829140802</v>
      </c>
      <c r="D671" s="34" t="n">
        <f aca="false">D670*(1+Inputs!$B$23)+MAX(D607-D639,0)</f>
        <v>241261.420312182</v>
      </c>
      <c r="E671" s="34" t="n">
        <f aca="false">E670*(1+Inputs!$B$23)+MAX(E607-E639,0)</f>
        <v>234350.51723731</v>
      </c>
      <c r="F671" s="34" t="n">
        <f aca="false">F670*(1+Inputs!$B$23)+MAX(F607-F639,0)</f>
        <v>227216.779090557</v>
      </c>
      <c r="G671" s="34" t="n">
        <f aca="false">G670*(1+Inputs!$B$23)+MAX(G607-G639,0)</f>
        <v>219853.716741508</v>
      </c>
      <c r="H671" s="34" t="n">
        <f aca="false">H670*(1+Inputs!$B$23)+MAX(H607-H639,0)</f>
        <v>212254.690358654</v>
      </c>
    </row>
    <row r="672" customFormat="false" ht="15" hidden="true" customHeight="true" outlineLevel="0" collapsed="false">
      <c r="B672" s="34" t="n">
        <f aca="false">B671*(1+Inputs!$B$23)+MAX(B608-B640,0)</f>
        <v>283904.27243398</v>
      </c>
      <c r="C672" s="34" t="n">
        <f aca="false">C671*(1+Inputs!$B$23)+MAX(C608-C640,0)</f>
        <v>275049.702533778</v>
      </c>
      <c r="D672" s="34" t="n">
        <f aca="false">D671*(1+Inputs!$B$23)+MAX(D608-D640,0)</f>
        <v>265850.945108126</v>
      </c>
      <c r="E672" s="34" t="n">
        <f aca="false">E671*(1+Inputs!$B$23)+MAX(E608-E640,0)</f>
        <v>256295.310432262</v>
      </c>
      <c r="F672" s="34" t="n">
        <f aca="false">F671*(1+Inputs!$B$23)+MAX(F608-F640,0)</f>
        <v>246369.709220144</v>
      </c>
      <c r="G672" s="34" t="n">
        <f aca="false">G671*(1+Inputs!$B$23)+MAX(G608-G640,0)</f>
        <v>236060.64283268</v>
      </c>
      <c r="H672" s="34" t="n">
        <f aca="false">H671*(1+Inputs!$B$23)+MAX(H608-H640,0)</f>
        <v>225354.193322402</v>
      </c>
    </row>
    <row r="673" customFormat="false" ht="15" hidden="true" customHeight="true" outlineLevel="0" collapsed="false">
      <c r="B673" s="34" t="n">
        <f aca="false">B672*(1+Inputs!$B$23)+MAX(B609-B641,0)</f>
        <v>315540.889389011</v>
      </c>
      <c r="C673" s="34" t="n">
        <f aca="false">C672*(1+Inputs!$B$23)+MAX(C609-C641,0)</f>
        <v>303879.137304605</v>
      </c>
      <c r="D673" s="34" t="n">
        <f aca="false">D672*(1+Inputs!$B$23)+MAX(D609-D641,0)</f>
        <v>291689.222546236</v>
      </c>
      <c r="E673" s="34" t="n">
        <f aca="false">E672*(1+Inputs!$B$23)+MAX(E609-E641,0)</f>
        <v>278947.749071635</v>
      </c>
      <c r="F673" s="34" t="n">
        <f aca="false">F672*(1+Inputs!$B$23)+MAX(F609-F641,0)</f>
        <v>265630.397705813</v>
      </c>
      <c r="G673" s="34" t="n">
        <f aca="false">G672*(1+Inputs!$B$23)+MAX(G609-G641,0)</f>
        <v>251711.895881636</v>
      </c>
      <c r="H673" s="34" t="n">
        <f aca="false">H672*(1+Inputs!$B$23)+MAX(H609-H641,0)</f>
        <v>238875.444921746</v>
      </c>
    </row>
    <row r="674" customFormat="false" ht="15" hidden="true" customHeight="true" outlineLevel="0" collapsed="false">
      <c r="B674" s="34" t="n">
        <f aca="false">B673*(1+Inputs!$B$23)+MAX(B610-B642,0)</f>
        <v>349492.259167517</v>
      </c>
      <c r="C674" s="34" t="n">
        <f aca="false">C673*(1+Inputs!$B$23)+MAX(C610-C642,0)</f>
        <v>334557.454887953</v>
      </c>
      <c r="D674" s="34" t="n">
        <f aca="false">D673*(1+Inputs!$B$23)+MAX(D610-D642,0)</f>
        <v>318850.689639258</v>
      </c>
      <c r="E674" s="34" t="n">
        <f aca="false">E673*(1+Inputs!$B$23)+MAX(E610-E642,0)</f>
        <v>302332.020617677</v>
      </c>
      <c r="F674" s="34" t="n">
        <f aca="false">F673*(1+Inputs!$B$23)+MAX(F610-F642,0)</f>
        <v>284959.609119734</v>
      </c>
      <c r="G674" s="34" t="n">
        <f aca="false">G673*(1+Inputs!$B$23)+MAX(G610-G642,0)</f>
        <v>266814.609634534</v>
      </c>
      <c r="H674" s="34" t="n">
        <f aca="false">H673*(1+Inputs!$B$23)+MAX(H610-H642,0)</f>
        <v>253207.97161705</v>
      </c>
    </row>
    <row r="675" customFormat="false" ht="15" hidden="true" customHeight="true" outlineLevel="0" collapsed="false">
      <c r="B675" s="34" t="n">
        <f aca="false">B674*(1+Inputs!$B$23)+MAX(B611-B643,0)</f>
        <v>385909.763613092</v>
      </c>
      <c r="C675" s="34" t="n">
        <f aca="false">C674*(1+Inputs!$B$23)+MAX(C611-C643,0)</f>
        <v>367205.110535959</v>
      </c>
      <c r="D675" s="34" t="n">
        <f aca="false">D674*(1+Inputs!$B$23)+MAX(D611-D643,0)</f>
        <v>347414.361184721</v>
      </c>
      <c r="E675" s="34" t="n">
        <f aca="false">E674*(1+Inputs!$B$23)+MAX(E611-E643,0)</f>
        <v>326473.215642437</v>
      </c>
      <c r="F675" s="34" t="n">
        <f aca="false">F674*(1+Inputs!$B$23)+MAX(F611-F643,0)</f>
        <v>304313.804544305</v>
      </c>
      <c r="G675" s="34" t="n">
        <f aca="false">G674*(1+Inputs!$B$23)+MAX(G611-G643,0)</f>
        <v>282823.486212606</v>
      </c>
      <c r="H675" s="34" t="n">
        <f aca="false">H674*(1+Inputs!$B$23)+MAX(H611-H643,0)</f>
        <v>268400.449914073</v>
      </c>
    </row>
    <row r="676" customFormat="false" ht="15" hidden="true" customHeight="true" outlineLevel="0" collapsed="false">
      <c r="B676" s="34" t="n">
        <f aca="false">B675*(1+Inputs!$B$23)+MAX(B612-B644,0)</f>
        <v>424954.24238017</v>
      </c>
      <c r="C676" s="34" t="n">
        <f aca="false">C675*(1+Inputs!$B$23)+MAX(C612-C644,0)</f>
        <v>401950.131972206</v>
      </c>
      <c r="D676" s="34" t="n">
        <f aca="false">D675*(1+Inputs!$B$23)+MAX(D612-D644,0)</f>
        <v>377464.110303113</v>
      </c>
      <c r="E676" s="34" t="n">
        <f aca="false">E675*(1+Inputs!$B$23)+MAX(E612-E644,0)</f>
        <v>351397.365570217</v>
      </c>
      <c r="F676" s="34" t="n">
        <f aca="false">F675*(1+Inputs!$B$23)+MAX(F612-F644,0)</f>
        <v>323644.801748393</v>
      </c>
      <c r="G676" s="34" t="n">
        <f aca="false">G675*(1+Inputs!$B$23)+MAX(G612-G644,0)</f>
        <v>299792.895385362</v>
      </c>
      <c r="H676" s="34" t="n">
        <f aca="false">H675*(1+Inputs!$B$23)+MAX(H612-H644,0)</f>
        <v>284504.476908918</v>
      </c>
    </row>
    <row r="677" customFormat="false" ht="15" hidden="true" customHeight="true" outlineLevel="0" collapsed="false">
      <c r="B677" s="34" t="n">
        <f aca="false">B676*(1+Inputs!$B$23)+MAX(B613-B645,0)</f>
        <v>466796.571649685</v>
      </c>
      <c r="C677" s="34" t="n">
        <f aca="false">C676*(1+Inputs!$B$23)+MAX(C613-C645,0)</f>
        <v>438928.584689578</v>
      </c>
      <c r="D677" s="34" t="n">
        <f aca="false">D676*(1+Inputs!$B$23)+MAX(D613-D645,0)</f>
        <v>409088.96603496</v>
      </c>
      <c r="E677" s="34" t="n">
        <f aca="false">E676*(1+Inputs!$B$23)+MAX(E613-E645,0)</f>
        <v>377131.482191244</v>
      </c>
      <c r="F677" s="34" t="n">
        <f aca="false">F676*(1+Inputs!$B$23)+MAX(F613-F645,0)</f>
        <v>343063.489853297</v>
      </c>
      <c r="G677" s="34" t="n">
        <f aca="false">G676*(1+Inputs!$B$23)+MAX(G613-G645,0)</f>
        <v>317780.469108484</v>
      </c>
      <c r="H677" s="34" t="n">
        <f aca="false">H676*(1+Inputs!$B$23)+MAX(H613-H645,0)</f>
        <v>301574.745523453</v>
      </c>
    </row>
    <row r="678" customFormat="false" ht="15" hidden="true" customHeight="true" outlineLevel="0" collapsed="false">
      <c r="B678" s="34" t="n">
        <f aca="false">B677*(1+Inputs!$B$23)+MAX(B614-B646,0)</f>
        <v>511618.277905075</v>
      </c>
      <c r="C678" s="34" t="n">
        <f aca="false">C677*(1+Inputs!$B$23)+MAX(C614-C646,0)</f>
        <v>478285.06550042</v>
      </c>
      <c r="D678" s="34" t="n">
        <f aca="false">D677*(1+Inputs!$B$23)+MAX(D614-D646,0)</f>
        <v>442383.429028162</v>
      </c>
      <c r="E678" s="34" t="n">
        <f aca="false">E677*(1+Inputs!$B$23)+MAX(E614-E646,0)</f>
        <v>403703.59903804</v>
      </c>
      <c r="F678" s="34" t="n">
        <f aca="false">F677*(1+Inputs!$B$23)+MAX(F614-F646,0)</f>
        <v>363647.299244495</v>
      </c>
      <c r="G678" s="34" t="n">
        <f aca="false">G677*(1+Inputs!$B$23)+MAX(G614-G646,0)</f>
        <v>336847.297254993</v>
      </c>
      <c r="H678" s="34" t="n">
        <f aca="false">H677*(1+Inputs!$B$23)+MAX(H614-H646,0)</f>
        <v>319669.23025486</v>
      </c>
    </row>
    <row r="679" customFormat="false" ht="15" hidden="true" customHeight="true" outlineLevel="0" collapsed="false">
      <c r="B679" s="34" t="n">
        <f aca="false">B678*(1+Inputs!$B$23)+MAX(B615-B647,0)</f>
        <v>559612.188882384</v>
      </c>
      <c r="C679" s="34" t="n">
        <f aca="false">C678*(1+Inputs!$B$23)+MAX(C615-C647,0)</f>
        <v>520173.226044239</v>
      </c>
      <c r="D679" s="34" t="n">
        <f aca="false">D678*(1+Inputs!$B$23)+MAX(D615-D647,0)</f>
        <v>477447.806409045</v>
      </c>
      <c r="E679" s="34" t="n">
        <f aca="false">E678*(1+Inputs!$B$23)+MAX(E615-E647,0)</f>
        <v>431142.814721006</v>
      </c>
      <c r="F679" s="34" t="n">
        <f aca="false">F678*(1+Inputs!$B$23)+MAX(F615-F647,0)</f>
        <v>385466.137199164</v>
      </c>
      <c r="G679" s="34" t="n">
        <f aca="false">G678*(1+Inputs!$B$23)+MAX(G615-G647,0)</f>
        <v>357058.135090292</v>
      </c>
      <c r="H679" s="34" t="n">
        <f aca="false">H678*(1+Inputs!$B$23)+MAX(H615-H647,0)</f>
        <v>338849.384070152</v>
      </c>
    </row>
    <row r="680" customFormat="false" ht="15" hidden="true" customHeight="true" outlineLevel="0" collapsed="false">
      <c r="B680" s="34" t="n">
        <f aca="false">B679*(1+Inputs!$B$23)+MAX(B616-B648,0)</f>
        <v>610983.123935325</v>
      </c>
      <c r="C680" s="34" t="n">
        <f aca="false">C679*(1+Inputs!$B$23)+MAX(C616-C648,0)</f>
        <v>564756.328060788</v>
      </c>
      <c r="D680" s="34" t="n">
        <f aca="false">D679*(1+Inputs!$B$23)+MAX(D616-D648,0)</f>
        <v>514388.566996498</v>
      </c>
      <c r="E680" s="34" t="n">
        <f aca="false">E679*(1+Inputs!$B$23)+MAX(E616-E648,0)</f>
        <v>459479.338325074</v>
      </c>
      <c r="F680" s="34" t="n">
        <f aca="false">F679*(1+Inputs!$B$23)+MAX(F616-F648,0)</f>
        <v>408594.105431114</v>
      </c>
      <c r="G680" s="34" t="n">
        <f aca="false">G679*(1+Inputs!$B$23)+MAX(G616-G648,0)</f>
        <v>378481.62319571</v>
      </c>
      <c r="H680" s="34" t="n">
        <f aca="false">H679*(1+Inputs!$B$23)+MAX(H616-H648,0)</f>
        <v>359180.347114361</v>
      </c>
    </row>
    <row r="681" customFormat="false" ht="15" hidden="true" customHeight="true" outlineLevel="0" collapsed="false">
      <c r="B681" s="34" t="n">
        <f aca="false">B680*(1+Inputs!$B$23)+MAX(B617-B649,0)</f>
        <v>665948.626190945</v>
      </c>
      <c r="C681" s="34" t="n">
        <f aca="false">C680*(1+Inputs!$B$23)+MAX(C617-C649,0)</f>
        <v>612207.832345171</v>
      </c>
      <c r="D681" s="34" t="n">
        <f aca="false">D680*(1+Inputs!$B$23)+MAX(D617-D649,0)</f>
        <v>553318.718088359</v>
      </c>
      <c r="E681" s="34" t="n">
        <f aca="false">E680*(1+Inputs!$B$23)+MAX(E617-E649,0)</f>
        <v>488744.536974914</v>
      </c>
      <c r="F681" s="34" t="n">
        <f aca="false">F680*(1+Inputs!$B$23)+MAX(F617-F649,0)</f>
        <v>433109.751756981</v>
      </c>
      <c r="G681" s="34" t="n">
        <f aca="false">G680*(1+Inputs!$B$23)+MAX(G617-G649,0)</f>
        <v>401190.520587453</v>
      </c>
      <c r="H681" s="34" t="n">
        <f aca="false">H680*(1+Inputs!$B$23)+MAX(H617-H649,0)</f>
        <v>380731.167941223</v>
      </c>
    </row>
    <row r="682" customFormat="false" ht="15" hidden="true" customHeight="true" outlineLevel="0" collapsed="false">
      <c r="B682" s="34" t="n">
        <f aca="false">B681*(1+Inputs!$B$23)+MAX(B618-B650,0)</f>
        <v>724739.73901439</v>
      </c>
      <c r="C682" s="34" t="n">
        <f aca="false">C681*(1+Inputs!$B$23)+MAX(C618-C650,0)</f>
        <v>662712.023416919</v>
      </c>
      <c r="D682" s="34" t="n">
        <f aca="false">D681*(1+Inputs!$B$23)+MAX(D618-D650,0)</f>
        <v>594358.205123272</v>
      </c>
      <c r="E682" s="34" t="n">
        <f aca="false">E681*(1+Inputs!$B$23)+MAX(E618-E650,0)</f>
        <v>518970.985682157</v>
      </c>
      <c r="F682" s="34" t="n">
        <f aca="false">F681*(1+Inputs!$B$23)+MAX(F618-F650,0)</f>
        <v>459096.3368624</v>
      </c>
      <c r="G682" s="34" t="n">
        <f aca="false">G681*(1+Inputs!$B$23)+MAX(G618-G650,0)</f>
        <v>425261.9518227</v>
      </c>
      <c r="H682" s="34" t="n">
        <f aca="false">H681*(1+Inputs!$B$23)+MAX(H618-H650,0)</f>
        <v>403575.038017696</v>
      </c>
    </row>
    <row r="683" customFormat="false" ht="15" hidden="true" customHeight="true" outlineLevel="0" collapsed="false">
      <c r="B683" s="34" t="n">
        <f aca="false">B682*(1+Inputs!$B$23)+MAX(B619-B651,0)</f>
        <v>787601.829452706</v>
      </c>
      <c r="C683" s="34" t="n">
        <f aca="false">C682*(1+Inputs!$B$23)+MAX(C619-C651,0)</f>
        <v>716464.672057224</v>
      </c>
      <c r="D683" s="34" t="n">
        <f aca="false">D682*(1+Inputs!$B$23)+MAX(D619-D651,0)</f>
        <v>637634.335599695</v>
      </c>
      <c r="E683" s="34" t="n">
        <f aca="false">E682*(1+Inputs!$B$23)+MAX(E619-E651,0)</f>
        <v>550192.5195944</v>
      </c>
      <c r="F683" s="34" t="n">
        <f aca="false">F682*(1+Inputs!$B$23)+MAX(F619-F651,0)</f>
        <v>486642.117074144</v>
      </c>
      <c r="G683" s="34" t="n">
        <f aca="false">G682*(1+Inputs!$B$23)+MAX(G619-G651,0)</f>
        <v>450777.668932062</v>
      </c>
      <c r="H683" s="34" t="n">
        <f aca="false">H682*(1+Inputs!$B$23)+MAX(H619-H651,0)</f>
        <v>427789.540298758</v>
      </c>
    </row>
    <row r="684" customFormat="false" ht="15" hidden="true" customHeight="true" outlineLevel="0" collapsed="false">
      <c r="B684" s="34" t="n">
        <f aca="false">B683*(1+Inputs!$B$23)+MAX(B620-B652,0)</f>
        <v>854795.461488146</v>
      </c>
      <c r="C684" s="34" t="n">
        <f aca="false">C683*(1+Inputs!$B$23)+MAX(C620-C652,0)</f>
        <v>773673.737998153</v>
      </c>
      <c r="D684" s="34" t="n">
        <f aca="false">D683*(1+Inputs!$B$23)+MAX(D620-D652,0)</f>
        <v>683282.228716962</v>
      </c>
      <c r="E684" s="34" t="n">
        <f aca="false">E683*(1+Inputs!$B$23)+MAX(E620-E652,0)</f>
        <v>583204.070770065</v>
      </c>
      <c r="F684" s="34" t="n">
        <f aca="false">F683*(1+Inputs!$B$23)+MAX(F620-F652,0)</f>
        <v>515840.644098593</v>
      </c>
      <c r="G684" s="34" t="n">
        <f aca="false">G683*(1+Inputs!$B$23)+MAX(G620-G652,0)</f>
        <v>477824.329067986</v>
      </c>
      <c r="H684" s="34" t="n">
        <f aca="false">H683*(1+Inputs!$B$23)+MAX(H620-H652,0)</f>
        <v>453456.912716683</v>
      </c>
    </row>
    <row r="685" customFormat="false" ht="15" hidden="true" customHeight="true" outlineLevel="0" collapsed="false">
      <c r="B685" s="34" t="n">
        <f aca="false">B684*(1+Inputs!$B$23)+MAX(B621-B653,0)</f>
        <v>926597.322101665</v>
      </c>
      <c r="C685" s="34" t="n">
        <f aca="false">C684*(1+Inputs!$B$23)+MAX(C621-C653,0)</f>
        <v>834560.115184981</v>
      </c>
      <c r="D685" s="34" t="n">
        <f aca="false">D684*(1+Inputs!$B$23)+MAX(D621-D653,0)</f>
        <v>731445.292291476</v>
      </c>
      <c r="E685" s="34" t="n">
        <f aca="false">E684*(1+Inputs!$B$23)+MAX(E621-E653,0)</f>
        <v>618196.315016268</v>
      </c>
      <c r="F685" s="34" t="n">
        <f aca="false">F684*(1+Inputs!$B$23)+MAX(F621-F653,0)</f>
        <v>546791.082744508</v>
      </c>
      <c r="G685" s="34" t="n">
        <f aca="false">G684*(1+Inputs!$B$23)+MAX(G621-G653,0)</f>
        <v>506493.788812065</v>
      </c>
      <c r="H685" s="34" t="n">
        <f aca="false">H684*(1+Inputs!$B$23)+MAX(H621-H653,0)</f>
        <v>480664.327479684</v>
      </c>
    </row>
    <row r="686" customFormat="false" ht="15" hidden="true" customHeight="true" outlineLevel="0" collapsed="false">
      <c r="B686" s="34" t="n">
        <f aca="false">B685*(1+Inputs!$B$23)+MAX(B622-B654,0)</f>
        <v>1003301.20332762</v>
      </c>
      <c r="C686" s="34" t="n">
        <f aca="false">C685*(1+Inputs!$B$23)+MAX(C622-C654,0)</f>
        <v>899358.422178477</v>
      </c>
      <c r="D686" s="34" t="n">
        <f aca="false">D685*(1+Inputs!$B$23)+MAX(D622-D654,0)</f>
        <v>782275.728594636</v>
      </c>
      <c r="E686" s="34" t="n">
        <f aca="false">E685*(1+Inputs!$B$23)+MAX(E622-E654,0)</f>
        <v>655288.093917245</v>
      </c>
      <c r="F686" s="34" t="n">
        <f aca="false">F685*(1+Inputs!$B$23)+MAX(F622-F654,0)</f>
        <v>579598.547709179</v>
      </c>
      <c r="G686" s="34" t="n">
        <f aca="false">G685*(1+Inputs!$B$23)+MAX(G622-G654,0)</f>
        <v>536883.416140789</v>
      </c>
      <c r="H686" s="34" t="n">
        <f aca="false">H685*(1+Inputs!$B$23)+MAX(H622-H654,0)</f>
        <v>509504.187128465</v>
      </c>
    </row>
    <row r="687" customFormat="false" ht="15" hidden="true" customHeight="true" outlineLevel="0" collapsed="false">
      <c r="B687" s="34" t="n">
        <f aca="false">B686*(1+Inputs!$B$23)+MAX(B623-B655,0)</f>
        <v>1085219.04367204</v>
      </c>
      <c r="C687" s="34" t="n">
        <f aca="false">C686*(1+Inputs!$B$23)+MAX(C623-C655,0)</f>
        <v>968317.840418306</v>
      </c>
      <c r="D687" s="34" t="n">
        <f aca="false">D686*(1+Inputs!$B$23)+MAX(D623-D655,0)</f>
        <v>835935.070858201</v>
      </c>
      <c r="E687" s="34" t="n">
        <f aca="false">E686*(1+Inputs!$B$23)+MAX(E623-E655,0)</f>
        <v>694605.379552279</v>
      </c>
      <c r="F687" s="34" t="n">
        <f aca="false">F686*(1+Inputs!$B$23)+MAX(F623-F655,0)</f>
        <v>614374.460571729</v>
      </c>
      <c r="G687" s="34" t="n">
        <f aca="false">G686*(1+Inputs!$B$23)+MAX(G623-G655,0)</f>
        <v>569096.421109236</v>
      </c>
      <c r="H687" s="34" t="n">
        <f aca="false">H686*(1+Inputs!$B$23)+MAX(H623-H655,0)</f>
        <v>540074.438356173</v>
      </c>
    </row>
    <row r="688" customFormat="false" ht="15" hidden="true" customHeight="true" outlineLevel="0" collapsed="false">
      <c r="B688" s="34" t="n">
        <f aca="false">B687*(1+Inputs!$B$23)+MAX(B624-B656,0)</f>
        <v>1172682.03246937</v>
      </c>
      <c r="C688" s="34" t="n">
        <f aca="false">C687*(1+Inputs!$B$23)+MAX(C624-C656,0)</f>
        <v>1041703.00323241</v>
      </c>
      <c r="D688" s="34" t="n">
        <f aca="false">D687*(1+Inputs!$B$23)+MAX(D624-D656,0)</f>
        <v>892594.752297888</v>
      </c>
      <c r="E688" s="34" t="n">
        <f aca="false">E687*(1+Inputs!$B$23)+MAX(E624-E656,0)</f>
        <v>736281.702325416</v>
      </c>
      <c r="F688" s="34" t="n">
        <f aca="false">F687*(1+Inputs!$B$23)+MAX(F624-F656,0)</f>
        <v>651236.928206033</v>
      </c>
      <c r="G688" s="34" t="n">
        <f aca="false">G687*(1+Inputs!$B$23)+MAX(G624-G656,0)</f>
        <v>603242.20637579</v>
      </c>
      <c r="H688" s="34" t="n">
        <f aca="false">H687*(1+Inputs!$B$23)+MAX(H624-H656,0)</f>
        <v>572478.904657544</v>
      </c>
    </row>
    <row r="689" customFormat="false" ht="15" hidden="true" customHeight="true" outlineLevel="0" collapsed="false">
      <c r="B689" s="34" t="n">
        <f aca="false">B688*(1+Inputs!$B$23)+MAX(B625-B657,0)</f>
        <v>1266041.78096775</v>
      </c>
      <c r="C689" s="34" t="n">
        <f aca="false">C688*(1+Inputs!$B$23)+MAX(C625-C657,0)</f>
        <v>1119794.9386507</v>
      </c>
      <c r="D689" s="34" t="n">
        <f aca="false">D688*(1+Inputs!$B$23)+MAX(D625-D657,0)</f>
        <v>952436.709617394</v>
      </c>
      <c r="E689" s="34" t="n">
        <f aca="false">E688*(1+Inputs!$B$23)+MAX(E625-E657,0)</f>
        <v>780458.604464941</v>
      </c>
      <c r="F689" s="34" t="n">
        <f aca="false">F688*(1+Inputs!$B$23)+MAX(F625-F657,0)</f>
        <v>690311.143898395</v>
      </c>
      <c r="G689" s="34" t="n">
        <f aca="false">G688*(1+Inputs!$B$23)+MAX(G625-G657,0)</f>
        <v>639436.738758338</v>
      </c>
      <c r="H689" s="34" t="n">
        <f aca="false">H688*(1+Inputs!$B$23)+MAX(H625-H657,0)</f>
        <v>606827.638936996</v>
      </c>
    </row>
    <row r="690" customFormat="false" ht="15" hidden="true" customHeight="true" outlineLevel="0" collapsed="false">
      <c r="B690" s="34" t="n">
        <f aca="false">B689*(1+Inputs!$B$23)+MAX(B626-B658,0)</f>
        <v>1365671.56416044</v>
      </c>
      <c r="C690" s="34" t="n">
        <f aca="false">C689*(1+Inputs!$B$23)+MAX(C626-C658,0)</f>
        <v>1202892.06926524</v>
      </c>
      <c r="D690" s="34" t="n">
        <f aca="false">D689*(1+Inputs!$B$23)+MAX(D626-D658,0)</f>
        <v>1015654.02307311</v>
      </c>
      <c r="E690" s="34" t="n">
        <f aca="false">E689*(1+Inputs!$B$23)+MAX(E626-E658,0)</f>
        <v>827286.120732838</v>
      </c>
      <c r="F690" s="34" t="n">
        <f aca="false">F689*(1+Inputs!$B$23)+MAX(F626-F658,0)</f>
        <v>731729.812532299</v>
      </c>
      <c r="G690" s="34" t="n">
        <f aca="false">G689*(1+Inputs!$B$23)+MAX(G626-G658,0)</f>
        <v>677802.943083838</v>
      </c>
      <c r="H690" s="34" t="n">
        <f aca="false">H689*(1+Inputs!$B$23)+MAX(H626-H658,0)</f>
        <v>643237.297273216</v>
      </c>
    </row>
    <row r="691" customFormat="false" ht="15" hidden="true" customHeight="true" outlineLevel="0" collapsed="false">
      <c r="B691" s="34" t="n">
        <f aca="false">B690*(1+Inputs!$B$23)+MAX(B627-B659,0)</f>
        <v>1471967.63762264</v>
      </c>
      <c r="C691" s="34" t="n">
        <f aca="false">C690*(1+Inputs!$B$23)+MAX(C627-C659,0)</f>
        <v>1291311.2725742</v>
      </c>
      <c r="D691" s="34" t="n">
        <f aca="false">D690*(1+Inputs!$B$23)+MAX(D627-D659,0)</f>
        <v>1082451.59530499</v>
      </c>
      <c r="E691" s="34" t="n">
        <f aca="false">E690*(1+Inputs!$B$23)+MAX(E627-E659,0)</f>
        <v>876923.287976808</v>
      </c>
      <c r="F691" s="34" t="n">
        <f aca="false">F690*(1+Inputs!$B$23)+MAX(F627-F659,0)</f>
        <v>775633.601284237</v>
      </c>
      <c r="G691" s="34" t="n">
        <f aca="false">G690*(1+Inputs!$B$23)+MAX(G627-G659,0)</f>
        <v>718471.119668868</v>
      </c>
      <c r="H691" s="34" t="n">
        <f aca="false">H690*(1+Inputs!$B$23)+MAX(H627-H659,0)</f>
        <v>681831.535109609</v>
      </c>
    </row>
    <row r="692" customFormat="false" ht="15" hidden="true" customHeight="true" outlineLevel="0" collapsed="false">
      <c r="B692" s="34" t="n">
        <f aca="false">B691*(1+Inputs!$B$23)+MAX(B628-B660,0)</f>
        <v>1585350.63386885</v>
      </c>
      <c r="C692" s="34" t="n">
        <f aca="false">C691*(1+Inputs!$B$23)+MAX(C628-C660,0)</f>
        <v>1385389.00545338</v>
      </c>
      <c r="D692" s="34" t="n">
        <f aca="false">D691*(1+Inputs!$B$23)+MAX(D628-D660,0)</f>
        <v>1153046.87127176</v>
      </c>
      <c r="E692" s="34" t="n">
        <f aca="false">E691*(1+Inputs!$B$23)+MAX(E628-E660,0)</f>
        <v>929538.685255416</v>
      </c>
      <c r="F692" s="34" t="n">
        <f aca="false">F691*(1+Inputs!$B$23)+MAX(F628-F660,0)</f>
        <v>822171.617361291</v>
      </c>
      <c r="G692" s="34" t="n">
        <f aca="false">G691*(1+Inputs!$B$23)+MAX(G628-G660,0)</f>
        <v>761579.386849</v>
      </c>
      <c r="H692" s="34" t="n">
        <f aca="false">H691*(1+Inputs!$B$23)+MAX(H628-H660,0)</f>
        <v>722741.427216186</v>
      </c>
    </row>
    <row r="693" customFormat="false" ht="15" hidden="true" customHeight="true" outlineLevel="0" collapsed="false">
      <c r="B693" s="34" t="n">
        <f aca="false">B692*(1+Inputs!$B$23)+MAX(B629-B661,0)</f>
        <v>1706267.0430174</v>
      </c>
      <c r="C693" s="34" t="n">
        <f aca="false">C692*(1+Inputs!$B$23)+MAX(C629-C661,0)</f>
        <v>1485482.49661824</v>
      </c>
      <c r="D693" s="34" t="n">
        <f aca="false">D692*(1+Inputs!$B$23)+MAX(D629-D661,0)</f>
        <v>1227670.6017693</v>
      </c>
      <c r="E693" s="34" t="n">
        <f aca="false">E692*(1+Inputs!$B$23)+MAX(E629-E661,0)</f>
        <v>985311.006370742</v>
      </c>
      <c r="F693" s="34" t="n">
        <f aca="false">F692*(1+Inputs!$B$23)+MAX(F629-F661,0)</f>
        <v>871501.914402969</v>
      </c>
      <c r="G693" s="34" t="n">
        <f aca="false">G692*(1+Inputs!$B$23)+MAX(G629-G661,0)</f>
        <v>807274.15005994</v>
      </c>
      <c r="H693" s="34" t="n">
        <f aca="false">H692*(1+Inputs!$B$23)+MAX(H629-H661,0)</f>
        <v>766105.912849157</v>
      </c>
    </row>
    <row r="694" customFormat="false" ht="15" hidden="true" customHeight="true" outlineLevel="0" collapsed="false">
      <c r="B694" s="34" t="n">
        <f aca="false">B693*(1+Inputs!$B$23)+MAX(B630-B662,0)</f>
        <v>1835190.78283625</v>
      </c>
      <c r="C694" s="34" t="n">
        <f aca="false">C693*(1+Inputs!$B$23)+MAX(C630-C662,0)</f>
        <v>1591971.0111716</v>
      </c>
      <c r="D694" s="34" t="n">
        <f aca="false">D693*(1+Inputs!$B$23)+MAX(D630-D662,0)</f>
        <v>1306567.65316018</v>
      </c>
      <c r="E694" s="34" t="n">
        <f aca="false">E693*(1+Inputs!$B$23)+MAX(E630-E662,0)</f>
        <v>1044429.66675299</v>
      </c>
      <c r="F694" s="34" t="n">
        <f aca="false">F693*(1+Inputs!$B$23)+MAX(F630-F662,0)</f>
        <v>923792.029267147</v>
      </c>
      <c r="G694" s="34" t="n">
        <f aca="false">G693*(1+Inputs!$B$23)+MAX(G630-G662,0)</f>
        <v>855710.599063537</v>
      </c>
      <c r="H694" s="34" t="n">
        <f aca="false">H693*(1+Inputs!$B$23)+MAX(H630-H662,0)</f>
        <v>812072.267620107</v>
      </c>
    </row>
    <row r="695" customFormat="false" ht="15" hidden="true" customHeight="true" outlineLevel="0" collapsed="false"/>
    <row r="696" customFormat="false" ht="15" hidden="true" customHeight="true" outlineLevel="0" collapsed="false">
      <c r="A696" s="33" t="s">
        <v>96</v>
      </c>
      <c r="B696" s="34" t="n">
        <v>0</v>
      </c>
      <c r="C696" s="34" t="n">
        <v>0</v>
      </c>
      <c r="D696" s="34" t="n">
        <v>0</v>
      </c>
      <c r="E696" s="34" t="n">
        <v>0</v>
      </c>
      <c r="F696" s="34" t="n">
        <v>0</v>
      </c>
      <c r="G696" s="34" t="n">
        <v>0</v>
      </c>
      <c r="H696" s="34" t="n">
        <v>0</v>
      </c>
    </row>
    <row r="697" customFormat="false" ht="15" hidden="true" customHeight="true" outlineLevel="0" collapsed="false">
      <c r="B697" s="34" t="n">
        <f aca="false">B696*(1+Inputs!$B$23)+MAX(B633-B601,0)</f>
        <v>0</v>
      </c>
      <c r="C697" s="34" t="n">
        <f aca="false">C696*(1+Inputs!$B$23)+MAX(C633-C601,0)</f>
        <v>0</v>
      </c>
      <c r="D697" s="34" t="n">
        <f aca="false">D696*(1+Inputs!$B$23)+MAX(D633-D601,0)</f>
        <v>0</v>
      </c>
      <c r="E697" s="34" t="n">
        <f aca="false">E696*(1+Inputs!$B$23)+MAX(E633-E601,0)</f>
        <v>0</v>
      </c>
      <c r="F697" s="34" t="n">
        <f aca="false">F696*(1+Inputs!$B$23)+MAX(F633-F601,0)</f>
        <v>0</v>
      </c>
      <c r="G697" s="34" t="n">
        <f aca="false">G696*(1+Inputs!$B$23)+MAX(G633-G601,0)</f>
        <v>0</v>
      </c>
      <c r="H697" s="34" t="n">
        <f aca="false">H696*(1+Inputs!$B$23)+MAX(H633-H601,0)</f>
        <v>0</v>
      </c>
    </row>
    <row r="698" customFormat="false" ht="15" hidden="true" customHeight="true" outlineLevel="0" collapsed="false">
      <c r="B698" s="34" t="n">
        <f aca="false">B697*(1+Inputs!$B$23)+MAX(B634-B602,0)</f>
        <v>0</v>
      </c>
      <c r="C698" s="34" t="n">
        <f aca="false">C697*(1+Inputs!$B$23)+MAX(C634-C602,0)</f>
        <v>0</v>
      </c>
      <c r="D698" s="34" t="n">
        <f aca="false">D697*(1+Inputs!$B$23)+MAX(D634-D602,0)</f>
        <v>0</v>
      </c>
      <c r="E698" s="34" t="n">
        <f aca="false">E697*(1+Inputs!$B$23)+MAX(E634-E602,0)</f>
        <v>0</v>
      </c>
      <c r="F698" s="34" t="n">
        <f aca="false">F697*(1+Inputs!$B$23)+MAX(F634-F602,0)</f>
        <v>0</v>
      </c>
      <c r="G698" s="34" t="n">
        <f aca="false">G697*(1+Inputs!$B$23)+MAX(G634-G602,0)</f>
        <v>0</v>
      </c>
      <c r="H698" s="34" t="n">
        <f aca="false">H697*(1+Inputs!$B$23)+MAX(H634-H602,0)</f>
        <v>0</v>
      </c>
    </row>
    <row r="699" customFormat="false" ht="15" hidden="true" customHeight="true" outlineLevel="0" collapsed="false">
      <c r="B699" s="34" t="n">
        <f aca="false">B698*(1+Inputs!$B$23)+MAX(B635-B603,0)</f>
        <v>0</v>
      </c>
      <c r="C699" s="34" t="n">
        <f aca="false">C698*(1+Inputs!$B$23)+MAX(C635-C603,0)</f>
        <v>0</v>
      </c>
      <c r="D699" s="34" t="n">
        <f aca="false">D698*(1+Inputs!$B$23)+MAX(D635-D603,0)</f>
        <v>0</v>
      </c>
      <c r="E699" s="34" t="n">
        <f aca="false">E698*(1+Inputs!$B$23)+MAX(E635-E603,0)</f>
        <v>0</v>
      </c>
      <c r="F699" s="34" t="n">
        <f aca="false">F698*(1+Inputs!$B$23)+MAX(F635-F603,0)</f>
        <v>0</v>
      </c>
      <c r="G699" s="34" t="n">
        <f aca="false">G698*(1+Inputs!$B$23)+MAX(G635-G603,0)</f>
        <v>0</v>
      </c>
      <c r="H699" s="34" t="n">
        <f aca="false">H698*(1+Inputs!$B$23)+MAX(H635-H603,0)</f>
        <v>0</v>
      </c>
    </row>
    <row r="700" customFormat="false" ht="15" hidden="true" customHeight="true" outlineLevel="0" collapsed="false">
      <c r="B700" s="34" t="n">
        <f aca="false">B699*(1+Inputs!$B$23)+MAX(B636-B604,0)</f>
        <v>0</v>
      </c>
      <c r="C700" s="34" t="n">
        <f aca="false">C699*(1+Inputs!$B$23)+MAX(C636-C604,0)</f>
        <v>0</v>
      </c>
      <c r="D700" s="34" t="n">
        <f aca="false">D699*(1+Inputs!$B$23)+MAX(D636-D604,0)</f>
        <v>0</v>
      </c>
      <c r="E700" s="34" t="n">
        <f aca="false">E699*(1+Inputs!$B$23)+MAX(E636-E604,0)</f>
        <v>0</v>
      </c>
      <c r="F700" s="34" t="n">
        <f aca="false">F699*(1+Inputs!$B$23)+MAX(F636-F604,0)</f>
        <v>0</v>
      </c>
      <c r="G700" s="34" t="n">
        <f aca="false">G699*(1+Inputs!$B$23)+MAX(G636-G604,0)</f>
        <v>0</v>
      </c>
      <c r="H700" s="34" t="n">
        <f aca="false">H699*(1+Inputs!$B$23)+MAX(H636-H604,0)</f>
        <v>0</v>
      </c>
    </row>
    <row r="701" customFormat="false" ht="15" hidden="true" customHeight="true" outlineLevel="0" collapsed="false">
      <c r="B701" s="34" t="n">
        <f aca="false">B700*(1+Inputs!$B$23)+MAX(B637-B605,0)</f>
        <v>0</v>
      </c>
      <c r="C701" s="34" t="n">
        <f aca="false">C700*(1+Inputs!$B$23)+MAX(C637-C605,0)</f>
        <v>0</v>
      </c>
      <c r="D701" s="34" t="n">
        <f aca="false">D700*(1+Inputs!$B$23)+MAX(D637-D605,0)</f>
        <v>0</v>
      </c>
      <c r="E701" s="34" t="n">
        <f aca="false">E700*(1+Inputs!$B$23)+MAX(E637-E605,0)</f>
        <v>0</v>
      </c>
      <c r="F701" s="34" t="n">
        <f aca="false">F700*(1+Inputs!$B$23)+MAX(F637-F605,0)</f>
        <v>0</v>
      </c>
      <c r="G701" s="34" t="n">
        <f aca="false">G700*(1+Inputs!$B$23)+MAX(G637-G605,0)</f>
        <v>0</v>
      </c>
      <c r="H701" s="34" t="n">
        <f aca="false">H700*(1+Inputs!$B$23)+MAX(H637-H605,0)</f>
        <v>0</v>
      </c>
    </row>
    <row r="702" customFormat="false" ht="15" hidden="true" customHeight="true" outlineLevel="0" collapsed="false">
      <c r="B702" s="34" t="n">
        <f aca="false">B701*(1+Inputs!$B$23)+MAX(B638-B606,0)</f>
        <v>0</v>
      </c>
      <c r="C702" s="34" t="n">
        <f aca="false">C701*(1+Inputs!$B$23)+MAX(C638-C606,0)</f>
        <v>0</v>
      </c>
      <c r="D702" s="34" t="n">
        <f aca="false">D701*(1+Inputs!$B$23)+MAX(D638-D606,0)</f>
        <v>0</v>
      </c>
      <c r="E702" s="34" t="n">
        <f aca="false">E701*(1+Inputs!$B$23)+MAX(E638-E606,0)</f>
        <v>0</v>
      </c>
      <c r="F702" s="34" t="n">
        <f aca="false">F701*(1+Inputs!$B$23)+MAX(F638-F606,0)</f>
        <v>0</v>
      </c>
      <c r="G702" s="34" t="n">
        <f aca="false">G701*(1+Inputs!$B$23)+MAX(G638-G606,0)</f>
        <v>0</v>
      </c>
      <c r="H702" s="34" t="n">
        <f aca="false">H701*(1+Inputs!$B$23)+MAX(H638-H606,0)</f>
        <v>0</v>
      </c>
    </row>
    <row r="703" customFormat="false" ht="15" hidden="true" customHeight="true" outlineLevel="0" collapsed="false">
      <c r="B703" s="34" t="n">
        <f aca="false">B702*(1+Inputs!$B$23)+MAX(B639-B607,0)</f>
        <v>0</v>
      </c>
      <c r="C703" s="34" t="n">
        <f aca="false">C702*(1+Inputs!$B$23)+MAX(C639-C607,0)</f>
        <v>0</v>
      </c>
      <c r="D703" s="34" t="n">
        <f aca="false">D702*(1+Inputs!$B$23)+MAX(D639-D607,0)</f>
        <v>0</v>
      </c>
      <c r="E703" s="34" t="n">
        <f aca="false">E702*(1+Inputs!$B$23)+MAX(E639-E607,0)</f>
        <v>0</v>
      </c>
      <c r="F703" s="34" t="n">
        <f aca="false">F702*(1+Inputs!$B$23)+MAX(F639-F607,0)</f>
        <v>0</v>
      </c>
      <c r="G703" s="34" t="n">
        <f aca="false">G702*(1+Inputs!$B$23)+MAX(G639-G607,0)</f>
        <v>0</v>
      </c>
      <c r="H703" s="34" t="n">
        <f aca="false">H702*(1+Inputs!$B$23)+MAX(H639-H607,0)</f>
        <v>0</v>
      </c>
    </row>
    <row r="704" customFormat="false" ht="15" hidden="true" customHeight="true" outlineLevel="0" collapsed="false">
      <c r="B704" s="34" t="n">
        <f aca="false">B703*(1+Inputs!$B$23)+MAX(B640-B608,0)</f>
        <v>0</v>
      </c>
      <c r="C704" s="34" t="n">
        <f aca="false">C703*(1+Inputs!$B$23)+MAX(C640-C608,0)</f>
        <v>0</v>
      </c>
      <c r="D704" s="34" t="n">
        <f aca="false">D703*(1+Inputs!$B$23)+MAX(D640-D608,0)</f>
        <v>0</v>
      </c>
      <c r="E704" s="34" t="n">
        <f aca="false">E703*(1+Inputs!$B$23)+MAX(E640-E608,0)</f>
        <v>0</v>
      </c>
      <c r="F704" s="34" t="n">
        <f aca="false">F703*(1+Inputs!$B$23)+MAX(F640-F608,0)</f>
        <v>0</v>
      </c>
      <c r="G704" s="34" t="n">
        <f aca="false">G703*(1+Inputs!$B$23)+MAX(G640-G608,0)</f>
        <v>0</v>
      </c>
      <c r="H704" s="34" t="n">
        <f aca="false">H703*(1+Inputs!$B$23)+MAX(H640-H608,0)</f>
        <v>0</v>
      </c>
    </row>
    <row r="705" customFormat="false" ht="15" hidden="true" customHeight="true" outlineLevel="0" collapsed="false">
      <c r="B705" s="34" t="n">
        <f aca="false">B704*(1+Inputs!$B$23)+MAX(B641-B609,0)</f>
        <v>0</v>
      </c>
      <c r="C705" s="34" t="n">
        <f aca="false">C704*(1+Inputs!$B$23)+MAX(C641-C609,0)</f>
        <v>0</v>
      </c>
      <c r="D705" s="34" t="n">
        <f aca="false">D704*(1+Inputs!$B$23)+MAX(D641-D609,0)</f>
        <v>0</v>
      </c>
      <c r="E705" s="34" t="n">
        <f aca="false">E704*(1+Inputs!$B$23)+MAX(E641-E609,0)</f>
        <v>0</v>
      </c>
      <c r="F705" s="34" t="n">
        <f aca="false">F704*(1+Inputs!$B$23)+MAX(F641-F609,0)</f>
        <v>0</v>
      </c>
      <c r="G705" s="34" t="n">
        <f aca="false">G704*(1+Inputs!$B$23)+MAX(G641-G609,0)</f>
        <v>0</v>
      </c>
      <c r="H705" s="34" t="n">
        <f aca="false">H704*(1+Inputs!$B$23)+MAX(H641-H609,0)</f>
        <v>1709.45830222048</v>
      </c>
    </row>
    <row r="706" customFormat="false" ht="15" hidden="true" customHeight="true" outlineLevel="0" collapsed="false">
      <c r="B706" s="34" t="n">
        <f aca="false">B705*(1+Inputs!$B$23)+MAX(B642-B610,0)</f>
        <v>0</v>
      </c>
      <c r="C706" s="34" t="n">
        <f aca="false">C705*(1+Inputs!$B$23)+MAX(C642-C610,0)</f>
        <v>0</v>
      </c>
      <c r="D706" s="34" t="n">
        <f aca="false">D705*(1+Inputs!$B$23)+MAX(D642-D610,0)</f>
        <v>0</v>
      </c>
      <c r="E706" s="34" t="n">
        <f aca="false">E705*(1+Inputs!$B$23)+MAX(E642-E610,0)</f>
        <v>0</v>
      </c>
      <c r="F706" s="34" t="n">
        <f aca="false">F705*(1+Inputs!$B$23)+MAX(F642-F610,0)</f>
        <v>0</v>
      </c>
      <c r="G706" s="34" t="n">
        <f aca="false">G705*(1+Inputs!$B$23)+MAX(G642-G610,0)</f>
        <v>124.967021332246</v>
      </c>
      <c r="H706" s="34" t="n">
        <f aca="false">H705*(1+Inputs!$B$23)+MAX(H642-H610,0)</f>
        <v>5731.71743107404</v>
      </c>
    </row>
    <row r="707" customFormat="false" ht="15" hidden="true" customHeight="true" outlineLevel="0" collapsed="false">
      <c r="B707" s="34" t="n">
        <f aca="false">B706*(1+Inputs!$B$23)+MAX(B643-B611,0)</f>
        <v>0</v>
      </c>
      <c r="C707" s="34" t="n">
        <f aca="false">C706*(1+Inputs!$B$23)+MAX(C643-C611,0)</f>
        <v>0</v>
      </c>
      <c r="D707" s="34" t="n">
        <f aca="false">D706*(1+Inputs!$B$23)+MAX(D643-D611,0)</f>
        <v>0</v>
      </c>
      <c r="E707" s="34" t="n">
        <f aca="false">E706*(1+Inputs!$B$23)+MAX(E643-E611,0)</f>
        <v>0</v>
      </c>
      <c r="F707" s="34" t="n">
        <f aca="false">F706*(1+Inputs!$B$23)+MAX(F643-F611,0)</f>
        <v>0</v>
      </c>
      <c r="G707" s="34" t="n">
        <f aca="false">G706*(1+Inputs!$B$23)+MAX(G643-G611,0)</f>
        <v>1958.9737554112</v>
      </c>
      <c r="H707" s="34" t="n">
        <f aca="false">H706*(1+Inputs!$B$23)+MAX(H643-H611,0)</f>
        <v>12350.6561100539</v>
      </c>
    </row>
    <row r="708" customFormat="false" ht="15" hidden="true" customHeight="true" outlineLevel="0" collapsed="false">
      <c r="B708" s="34" t="n">
        <f aca="false">B707*(1+Inputs!$B$23)+MAX(B644-B612,0)</f>
        <v>0</v>
      </c>
      <c r="C708" s="34" t="n">
        <f aca="false">C707*(1+Inputs!$B$23)+MAX(C644-C612,0)</f>
        <v>0</v>
      </c>
      <c r="D708" s="34" t="n">
        <f aca="false">D707*(1+Inputs!$B$23)+MAX(D644-D612,0)</f>
        <v>0</v>
      </c>
      <c r="E708" s="34" t="n">
        <f aca="false">E707*(1+Inputs!$B$23)+MAX(E644-E612,0)</f>
        <v>0</v>
      </c>
      <c r="F708" s="34" t="n">
        <f aca="false">F707*(1+Inputs!$B$23)+MAX(F644-F612,0)</f>
        <v>0</v>
      </c>
      <c r="G708" s="34" t="n">
        <f aca="false">G707*(1+Inputs!$B$23)+MAX(G644-G612,0)</f>
        <v>5698.22071918216</v>
      </c>
      <c r="H708" s="34" t="n">
        <f aca="false">H707*(1+Inputs!$B$23)+MAX(H644-H612,0)</f>
        <v>21876.2673267219</v>
      </c>
    </row>
    <row r="709" customFormat="false" ht="15" hidden="true" customHeight="true" outlineLevel="0" collapsed="false">
      <c r="B709" s="34" t="n">
        <f aca="false">B708*(1+Inputs!$B$23)+MAX(B645-B613,0)</f>
        <v>0</v>
      </c>
      <c r="C709" s="34" t="n">
        <f aca="false">C708*(1+Inputs!$B$23)+MAX(C645-C613,0)</f>
        <v>0</v>
      </c>
      <c r="D709" s="34" t="n">
        <f aca="false">D708*(1+Inputs!$B$23)+MAX(D645-D613,0)</f>
        <v>0</v>
      </c>
      <c r="E709" s="34" t="n">
        <f aca="false">E708*(1+Inputs!$B$23)+MAX(E645-E613,0)</f>
        <v>0</v>
      </c>
      <c r="F709" s="34" t="n">
        <f aca="false">F708*(1+Inputs!$B$23)+MAX(F645-F613,0)</f>
        <v>164.078252912514</v>
      </c>
      <c r="G709" s="34" t="n">
        <f aca="false">G708*(1+Inputs!$B$23)+MAX(G645-G613,0)</f>
        <v>11555.6207988044</v>
      </c>
      <c r="H709" s="34" t="n">
        <f aca="false">H708*(1+Inputs!$B$23)+MAX(H645-H613,0)</f>
        <v>34646.7813279996</v>
      </c>
    </row>
    <row r="710" customFormat="false" ht="15" hidden="true" customHeight="true" outlineLevel="0" collapsed="false">
      <c r="B710" s="34" t="n">
        <f aca="false">B709*(1+Inputs!$B$23)+MAX(B646-B614,0)</f>
        <v>0</v>
      </c>
      <c r="C710" s="34" t="n">
        <f aca="false">C709*(1+Inputs!$B$23)+MAX(C646-C614,0)</f>
        <v>0</v>
      </c>
      <c r="D710" s="34" t="n">
        <f aca="false">D709*(1+Inputs!$B$23)+MAX(D646-D614,0)</f>
        <v>0</v>
      </c>
      <c r="E710" s="34" t="n">
        <f aca="false">E709*(1+Inputs!$B$23)+MAX(E646-E614,0)</f>
        <v>0</v>
      </c>
      <c r="F710" s="34" t="n">
        <f aca="false">F709*(1+Inputs!$B$23)+MAX(F646-F614,0)</f>
        <v>1628.25009048017</v>
      </c>
      <c r="G710" s="34" t="n">
        <f aca="false">G709*(1+Inputs!$B$23)+MAX(G646-G614,0)</f>
        <v>19762.0567316585</v>
      </c>
      <c r="H710" s="34" t="n">
        <f aca="false">H709*(1+Inputs!$B$23)+MAX(H646-H614,0)</f>
        <v>51030.9497009524</v>
      </c>
    </row>
    <row r="711" customFormat="false" ht="15" hidden="true" customHeight="true" outlineLevel="0" collapsed="false">
      <c r="B711" s="34" t="n">
        <f aca="false">B710*(1+Inputs!$B$23)+MAX(B647-B615,0)</f>
        <v>0</v>
      </c>
      <c r="C711" s="34" t="n">
        <f aca="false">C710*(1+Inputs!$B$23)+MAX(C647-C615,0)</f>
        <v>0</v>
      </c>
      <c r="D711" s="34" t="n">
        <f aca="false">D710*(1+Inputs!$B$23)+MAX(D647-D615,0)</f>
        <v>0</v>
      </c>
      <c r="E711" s="34" t="n">
        <f aca="false">E710*(1+Inputs!$B$23)+MAX(E647-E615,0)</f>
        <v>0</v>
      </c>
      <c r="F711" s="34" t="n">
        <f aca="false">F710*(1+Inputs!$B$23)+MAX(F647-F615,0)</f>
        <v>4526.81945565855</v>
      </c>
      <c r="G711" s="34" t="n">
        <f aca="false">G710*(1+Inputs!$B$23)+MAX(G647-G615,0)</f>
        <v>30567.7270059551</v>
      </c>
      <c r="H711" s="34" t="n">
        <f aca="false">H710*(1+Inputs!$B$23)+MAX(H647-H615,0)</f>
        <v>71430.5022366679</v>
      </c>
    </row>
    <row r="712" customFormat="false" ht="15" hidden="true" customHeight="true" outlineLevel="0" collapsed="false">
      <c r="B712" s="34" t="n">
        <f aca="false">B711*(1+Inputs!$B$23)+MAX(B648-B616,0)</f>
        <v>0</v>
      </c>
      <c r="C712" s="34" t="n">
        <f aca="false">C711*(1+Inputs!$B$23)+MAX(C648-C616,0)</f>
        <v>0</v>
      </c>
      <c r="D712" s="34" t="n">
        <f aca="false">D711*(1+Inputs!$B$23)+MAX(D648-D616,0)</f>
        <v>0</v>
      </c>
      <c r="E712" s="34" t="n">
        <f aca="false">E711*(1+Inputs!$B$23)+MAX(E648-E616,0)</f>
        <v>0</v>
      </c>
      <c r="F712" s="34" t="n">
        <f aca="false">F711*(1+Inputs!$B$23)+MAX(F648-F616,0)</f>
        <v>9004.5411122645</v>
      </c>
      <c r="G712" s="34" t="n">
        <f aca="false">G711*(1+Inputs!$B$23)+MAX(G648-G616,0)</f>
        <v>44243.5861383864</v>
      </c>
      <c r="H712" s="34" t="n">
        <f aca="false">H711*(1+Inputs!$B$23)+MAX(H648-H616,0)</f>
        <v>96282.7890989327</v>
      </c>
    </row>
    <row r="713" customFormat="false" ht="15" hidden="true" customHeight="true" outlineLevel="0" collapsed="false">
      <c r="B713" s="34" t="n">
        <f aca="false">B712*(1+Inputs!$B$23)+MAX(B649-B617,0)</f>
        <v>0</v>
      </c>
      <c r="C713" s="34" t="n">
        <f aca="false">C712*(1+Inputs!$B$23)+MAX(C649-C617,0)</f>
        <v>0</v>
      </c>
      <c r="D713" s="34" t="n">
        <f aca="false">D712*(1+Inputs!$B$23)+MAX(D649-D617,0)</f>
        <v>0</v>
      </c>
      <c r="E713" s="34" t="n">
        <f aca="false">E712*(1+Inputs!$B$23)+MAX(E649-E617,0)</f>
        <v>0</v>
      </c>
      <c r="F713" s="34" t="n">
        <f aca="false">F712*(1+Inputs!$B$23)+MAX(F649-F617,0)</f>
        <v>15217.3476171343</v>
      </c>
      <c r="G713" s="34" t="n">
        <f aca="false">G712*(1+Inputs!$B$23)+MAX(G649-G617,0)</f>
        <v>61082.885680864</v>
      </c>
      <c r="H713" s="34" t="n">
        <f aca="false">H712*(1+Inputs!$B$23)+MAX(H649-H617,0)</f>
        <v>126063.621700314</v>
      </c>
    </row>
    <row r="714" customFormat="false" ht="15" hidden="true" customHeight="true" outlineLevel="0" collapsed="false">
      <c r="B714" s="34" t="n">
        <f aca="false">B713*(1+Inputs!$B$23)+MAX(B650-B618,0)</f>
        <v>0</v>
      </c>
      <c r="C714" s="34" t="n">
        <f aca="false">C713*(1+Inputs!$B$23)+MAX(C650-C618,0)</f>
        <v>0</v>
      </c>
      <c r="D714" s="34" t="n">
        <f aca="false">D713*(1+Inputs!$B$23)+MAX(D650-D618,0)</f>
        <v>0</v>
      </c>
      <c r="E714" s="34" t="n">
        <f aca="false">E713*(1+Inputs!$B$23)+MAX(E650-E618,0)</f>
        <v>0</v>
      </c>
      <c r="F714" s="34" t="n">
        <f aca="false">F713*(1+Inputs!$B$23)+MAX(F650-F618,0)</f>
        <v>23333.1240341135</v>
      </c>
      <c r="G714" s="34" t="n">
        <f aca="false">G713*(1+Inputs!$B$23)+MAX(G650-G618,0)</f>
        <v>81402.8227230858</v>
      </c>
      <c r="H714" s="34" t="n">
        <f aca="false">H713*(1+Inputs!$B$23)+MAX(H650-H618,0)</f>
        <v>161290.326629787</v>
      </c>
    </row>
    <row r="715" customFormat="false" ht="15" hidden="true" customHeight="true" outlineLevel="0" collapsed="false">
      <c r="B715" s="34" t="n">
        <f aca="false">B714*(1+Inputs!$B$23)+MAX(B651-B619,0)</f>
        <v>0</v>
      </c>
      <c r="C715" s="34" t="n">
        <f aca="false">C714*(1+Inputs!$B$23)+MAX(C651-C619,0)</f>
        <v>0</v>
      </c>
      <c r="D715" s="34" t="n">
        <f aca="false">D714*(1+Inputs!$B$23)+MAX(D651-D619,0)</f>
        <v>0</v>
      </c>
      <c r="E715" s="34" t="n">
        <f aca="false">E714*(1+Inputs!$B$23)+MAX(E651-E619,0)</f>
        <v>0</v>
      </c>
      <c r="F715" s="34" t="n">
        <f aca="false">F714*(1+Inputs!$B$23)+MAX(F651-F619,0)</f>
        <v>33532.5334231262</v>
      </c>
      <c r="G715" s="34" t="n">
        <f aca="false">G714*(1+Inputs!$B$23)+MAX(G651-G619,0)</f>
        <v>105546.303100046</v>
      </c>
      <c r="H715" s="34" t="n">
        <f aca="false">H714*(1+Inputs!$B$23)+MAX(H651-H619,0)</f>
        <v>202525.027982332</v>
      </c>
    </row>
    <row r="716" customFormat="false" ht="15" hidden="true" customHeight="true" outlineLevel="0" collapsed="false">
      <c r="B716" s="34" t="n">
        <f aca="false">B715*(1+Inputs!$B$23)+MAX(B652-B620,0)</f>
        <v>0</v>
      </c>
      <c r="C716" s="34" t="n">
        <f aca="false">C715*(1+Inputs!$B$23)+MAX(C652-C620,0)</f>
        <v>0</v>
      </c>
      <c r="D716" s="34" t="n">
        <f aca="false">D715*(1+Inputs!$B$23)+MAX(D652-D620,0)</f>
        <v>0</v>
      </c>
      <c r="E716" s="34" t="n">
        <f aca="false">E715*(1+Inputs!$B$23)+MAX(E652-E620,0)</f>
        <v>759.781997643513</v>
      </c>
      <c r="F716" s="34" t="n">
        <f aca="false">F715*(1+Inputs!$B$23)+MAX(F652-F620,0)</f>
        <v>46009.8963264297</v>
      </c>
      <c r="G716" s="34" t="n">
        <f aca="false">G715*(1+Inputs!$B$23)+MAX(G652-G620,0)</f>
        <v>133883.826984349</v>
      </c>
      <c r="H716" s="34" t="n">
        <f aca="false">H715*(1+Inputs!$B$23)+MAX(H652-H620,0)</f>
        <v>250378.174516336</v>
      </c>
    </row>
    <row r="717" customFormat="false" ht="15" hidden="true" customHeight="true" outlineLevel="0" collapsed="false">
      <c r="B717" s="34" t="n">
        <f aca="false">B716*(1+Inputs!$B$23)+MAX(B653-B621,0)</f>
        <v>0</v>
      </c>
      <c r="C717" s="34" t="n">
        <f aca="false">C716*(1+Inputs!$B$23)+MAX(C653-C621,0)</f>
        <v>0</v>
      </c>
      <c r="D717" s="34" t="n">
        <f aca="false">D716*(1+Inputs!$B$23)+MAX(D653-D621,0)</f>
        <v>0</v>
      </c>
      <c r="E717" s="34" t="n">
        <f aca="false">E716*(1+Inputs!$B$23)+MAX(E653-E621,0)</f>
        <v>2433.49938717179</v>
      </c>
      <c r="F717" s="34" t="n">
        <f aca="false">F716*(1+Inputs!$B$23)+MAX(F653-F621,0)</f>
        <v>60974.1276746277</v>
      </c>
      <c r="G717" s="34" t="n">
        <f aca="false">G716*(1+Inputs!$B$23)+MAX(G653-G621,0)</f>
        <v>166815.505044087</v>
      </c>
      <c r="H717" s="34" t="n">
        <f aca="false">H716*(1+Inputs!$B$23)+MAX(H653-H621,0)</f>
        <v>305512.329213829</v>
      </c>
    </row>
    <row r="718" customFormat="false" ht="15" hidden="true" customHeight="true" outlineLevel="0" collapsed="false">
      <c r="B718" s="34" t="n">
        <f aca="false">B717*(1+Inputs!$B$23)+MAX(B654-B622,0)</f>
        <v>0</v>
      </c>
      <c r="C718" s="34" t="n">
        <f aca="false">C717*(1+Inputs!$B$23)+MAX(C654-C622,0)</f>
        <v>0</v>
      </c>
      <c r="D718" s="34" t="n">
        <f aca="false">D717*(1+Inputs!$B$23)+MAX(D654-D622,0)</f>
        <v>0</v>
      </c>
      <c r="E718" s="34" t="n">
        <f aca="false">E717*(1+Inputs!$B$23)+MAX(E654-E622,0)</f>
        <v>5102.0387462587</v>
      </c>
      <c r="F718" s="34" t="n">
        <f aca="false">F717*(1+Inputs!$B$23)+MAX(F654-F622,0)</f>
        <v>78649.7347478012</v>
      </c>
      <c r="G718" s="34" t="n">
        <f aca="false">G717*(1+Inputs!$B$23)+MAX(G654-G622,0)</f>
        <v>204773.213880024</v>
      </c>
      <c r="H718" s="34" t="n">
        <f aca="false">H717*(1+Inputs!$B$23)+MAX(H654-H622,0)</f>
        <v>368646.240046585</v>
      </c>
    </row>
    <row r="719" customFormat="false" ht="15" hidden="true" customHeight="true" outlineLevel="0" collapsed="false">
      <c r="B719" s="34" t="n">
        <f aca="false">B718*(1+Inputs!$B$23)+MAX(B655-B623,0)</f>
        <v>0</v>
      </c>
      <c r="C719" s="34" t="n">
        <f aca="false">C718*(1+Inputs!$B$23)+MAX(C655-C623,0)</f>
        <v>0</v>
      </c>
      <c r="D719" s="34" t="n">
        <f aca="false">D718*(1+Inputs!$B$23)+MAX(D655-D623,0)</f>
        <v>0</v>
      </c>
      <c r="E719" s="34" t="n">
        <f aca="false">E718*(1+Inputs!$B$23)+MAX(E655-E623,0)</f>
        <v>8851.92136086337</v>
      </c>
      <c r="F719" s="34" t="n">
        <f aca="false">F718*(1+Inputs!$B$23)+MAX(F655-F623,0)</f>
        <v>99277.8800529683</v>
      </c>
      <c r="G719" s="34" t="n">
        <f aca="false">G718*(1+Inputs!$B$23)+MAX(G655-G623,0)</f>
        <v>248222.900022877</v>
      </c>
      <c r="H719" s="34" t="n">
        <f aca="false">H718*(1+Inputs!$B$23)+MAX(H655-H623,0)</f>
        <v>440559.212063196</v>
      </c>
    </row>
    <row r="720" customFormat="false" ht="15" hidden="true" customHeight="true" outlineLevel="0" collapsed="false">
      <c r="B720" s="34" t="n">
        <f aca="false">B719*(1+Inputs!$B$23)+MAX(B656-B624,0)</f>
        <v>0</v>
      </c>
      <c r="C720" s="34" t="n">
        <f aca="false">C719*(1+Inputs!$B$23)+MAX(C656-C624,0)</f>
        <v>0</v>
      </c>
      <c r="D720" s="34" t="n">
        <f aca="false">D719*(1+Inputs!$B$23)+MAX(D656-D624,0)</f>
        <v>0</v>
      </c>
      <c r="E720" s="34" t="n">
        <f aca="false">E719*(1+Inputs!$B$23)+MAX(E656-E624,0)</f>
        <v>13775.664753136</v>
      </c>
      <c r="F720" s="34" t="n">
        <f aca="false">F719*(1+Inputs!$B$23)+MAX(F656-F624,0)</f>
        <v>123117.513218802</v>
      </c>
      <c r="G720" s="34" t="n">
        <f aca="false">G719*(1+Inputs!$B$23)+MAX(G656-G624,0)</f>
        <v>297667.042374795</v>
      </c>
      <c r="H720" s="34" t="n">
        <f aca="false">H719*(1+Inputs!$B$23)+MAX(H656-H624,0)</f>
        <v>522095.802314072</v>
      </c>
    </row>
    <row r="721" customFormat="false" ht="15" hidden="true" customHeight="true" outlineLevel="0" collapsed="false">
      <c r="B721" s="34" t="n">
        <f aca="false">B720*(1+Inputs!$B$23)+MAX(B657-B625,0)</f>
        <v>0</v>
      </c>
      <c r="C721" s="34" t="n">
        <f aca="false">C720*(1+Inputs!$B$23)+MAX(C657-C625,0)</f>
        <v>0</v>
      </c>
      <c r="D721" s="34" t="n">
        <f aca="false">D720*(1+Inputs!$B$23)+MAX(D657-D625,0)</f>
        <v>0</v>
      </c>
      <c r="E721" s="34" t="n">
        <f aca="false">E720*(1+Inputs!$B$23)+MAX(E657-E625,0)</f>
        <v>19972.1666043606</v>
      </c>
      <c r="F721" s="34" t="n">
        <f aca="false">F720*(1+Inputs!$B$23)+MAX(F657-F625,0)</f>
        <v>150446.576262959</v>
      </c>
      <c r="G721" s="34" t="n">
        <f aca="false">G720*(1+Inputs!$B$23)+MAX(G657-G625,0)</f>
        <v>353647.283620993</v>
      </c>
      <c r="H721" s="34" t="n">
        <f aca="false">H720*(1+Inputs!$B$23)+MAX(H657-H625,0)</f>
        <v>614170.860629032</v>
      </c>
    </row>
    <row r="722" customFormat="false" ht="15" hidden="true" customHeight="true" outlineLevel="0" collapsed="false">
      <c r="B722" s="34" t="n">
        <f aca="false">B721*(1+Inputs!$B$23)+MAX(B658-B626,0)</f>
        <v>0</v>
      </c>
      <c r="C722" s="34" t="n">
        <f aca="false">C721*(1+Inputs!$B$23)+MAX(C658-C626,0)</f>
        <v>0</v>
      </c>
      <c r="D722" s="34" t="n">
        <f aca="false">D721*(1+Inputs!$B$23)+MAX(D658-D626,0)</f>
        <v>0</v>
      </c>
      <c r="E722" s="34" t="n">
        <f aca="false">E721*(1+Inputs!$B$23)+MAX(E658-E626,0)</f>
        <v>27547.1124377365</v>
      </c>
      <c r="F722" s="34" t="n">
        <f aca="false">F721*(1+Inputs!$B$23)+MAX(F658-F626,0)</f>
        <v>181563.286857405</v>
      </c>
      <c r="G722" s="34" t="n">
        <f aca="false">G721*(1+Inputs!$B$23)+MAX(G658-G626,0)</f>
        <v>416747.241820249</v>
      </c>
      <c r="H722" s="34" t="n">
        <f aca="false">H721*(1+Inputs!$B$23)+MAX(H658-H626,0)</f>
        <v>717774.940862061</v>
      </c>
    </row>
    <row r="723" customFormat="false" ht="15" hidden="true" customHeight="true" outlineLevel="0" collapsed="false">
      <c r="B723" s="34" t="n">
        <f aca="false">B722*(1+Inputs!$B$23)+MAX(B659-B627,0)</f>
        <v>0</v>
      </c>
      <c r="C723" s="34" t="n">
        <f aca="false">C722*(1+Inputs!$B$23)+MAX(C659-C627,0)</f>
        <v>0</v>
      </c>
      <c r="D723" s="34" t="n">
        <f aca="false">D722*(1+Inputs!$B$23)+MAX(D659-D627,0)</f>
        <v>0</v>
      </c>
      <c r="E723" s="34" t="n">
        <f aca="false">E722*(1+Inputs!$B$23)+MAX(E659-E627,0)</f>
        <v>36613.4085083252</v>
      </c>
      <c r="F723" s="34" t="n">
        <f aca="false">F722*(1+Inputs!$B$23)+MAX(F659-F627,0)</f>
        <v>216787.504503708</v>
      </c>
      <c r="G723" s="34" t="n">
        <f aca="false">G722*(1+Inputs!$B$23)+MAX(G659-G627,0)</f>
        <v>487595.51410935</v>
      </c>
      <c r="H723" s="34" t="n">
        <f aca="false">H722*(1+Inputs!$B$23)+MAX(H659-H627,0)</f>
        <v>833980.108926924</v>
      </c>
    </row>
    <row r="724" customFormat="false" ht="15" hidden="true" customHeight="true" outlineLevel="0" collapsed="false">
      <c r="B724" s="34" t="n">
        <f aca="false">B723*(1+Inputs!$B$23)+MAX(B660-B628,0)</f>
        <v>0</v>
      </c>
      <c r="C724" s="34" t="n">
        <f aca="false">C723*(1+Inputs!$B$23)+MAX(C660-C628,0)</f>
        <v>0</v>
      </c>
      <c r="D724" s="34" t="n">
        <f aca="false">D723*(1+Inputs!$B$23)+MAX(D660-D628,0)</f>
        <v>0</v>
      </c>
      <c r="E724" s="34" t="n">
        <f aca="false">E723*(1+Inputs!$B$23)+MAX(E660-E628,0)</f>
        <v>47291.6414349759</v>
      </c>
      <c r="F724" s="34" t="n">
        <f aca="false">F723*(1+Inputs!$B$23)+MAX(F660-F628,0)</f>
        <v>256462.184834406</v>
      </c>
      <c r="G724" s="34" t="n">
        <f aca="false">G723*(1+Inputs!$B$23)+MAX(G660-G628,0)</f>
        <v>566868.88522914</v>
      </c>
      <c r="H724" s="34" t="n">
        <f aca="false">H723*(1+Inputs!$B$23)+MAX(H660-H628,0)</f>
        <v>963946.175772941</v>
      </c>
    </row>
    <row r="725" customFormat="false" ht="15" hidden="true" customHeight="true" outlineLevel="0" collapsed="false">
      <c r="B725" s="34" t="n">
        <f aca="false">B724*(1+Inputs!$B$23)+MAX(B661-B629,0)</f>
        <v>0</v>
      </c>
      <c r="C725" s="34" t="n">
        <f aca="false">C724*(1+Inputs!$B$23)+MAX(C661-C629,0)</f>
        <v>0</v>
      </c>
      <c r="D725" s="34" t="n">
        <f aca="false">D724*(1+Inputs!$B$23)+MAX(D661-D629,0)</f>
        <v>0</v>
      </c>
      <c r="E725" s="34" t="n">
        <f aca="false">E724*(1+Inputs!$B$23)+MAX(E661-E629,0)</f>
        <v>59710.566201807</v>
      </c>
      <c r="F725" s="34" t="n">
        <f aca="false">F724*(1+Inputs!$B$23)+MAX(F661-F629,0)</f>
        <v>300954.92757935</v>
      </c>
      <c r="G725" s="34" t="n">
        <f aca="false">G724*(1+Inputs!$B$23)+MAX(G661-G629,0)</f>
        <v>655295.754401652</v>
      </c>
      <c r="H725" s="34" t="n">
        <f aca="false">H724*(1+Inputs!$B$23)+MAX(H661-H629,0)</f>
        <v>1108927.38540011</v>
      </c>
    </row>
    <row r="726" customFormat="false" ht="15" hidden="true" customHeight="true" outlineLevel="0" collapsed="false">
      <c r="B726" s="34" t="n">
        <f aca="false">B725*(1+Inputs!$B$23)+MAX(B662-B630,0)</f>
        <v>0</v>
      </c>
      <c r="C726" s="34" t="n">
        <f aca="false">C725*(1+Inputs!$B$23)+MAX(C662-C630,0)</f>
        <v>0</v>
      </c>
      <c r="D726" s="34" t="n">
        <f aca="false">D725*(1+Inputs!$B$23)+MAX(D662-D630,0)</f>
        <v>0</v>
      </c>
      <c r="E726" s="34" t="n">
        <f aca="false">E725*(1+Inputs!$B$23)+MAX(E662-E630,0)</f>
        <v>74007.6242551668</v>
      </c>
      <c r="F726" s="34" t="n">
        <f aca="false">F725*(1+Inputs!$B$23)+MAX(F662-F630,0)</f>
        <v>350659.624078447</v>
      </c>
      <c r="G726" s="34" t="n">
        <f aca="false">G725*(1+Inputs!$B$23)+MAX(G662-G630,0)</f>
        <v>753659.794961878</v>
      </c>
      <c r="H726" s="34" t="n">
        <f aca="false">H725*(1+Inputs!$B$23)+MAX(H662-H630,0)</f>
        <v>1270279.59009534</v>
      </c>
    </row>
    <row r="727" customFormat="false" ht="15" hidden="true" customHeight="true" outlineLevel="0" collapsed="false"/>
    <row r="728" customFormat="false" ht="15" hidden="true" customHeight="true" outlineLevel="0" collapsed="false">
      <c r="A728" s="33" t="s">
        <v>97</v>
      </c>
      <c r="B728" s="34" t="n">
        <f aca="false">B536*(1-Inputs!$B$14)-B568+B696-B664</f>
        <v>-38619</v>
      </c>
      <c r="C728" s="34" t="n">
        <f aca="false">C536*(1-Inputs!$B$14)-C568+C696-C664</f>
        <v>-38619</v>
      </c>
      <c r="D728" s="34" t="n">
        <f aca="false">D536*(1-Inputs!$B$14)-D568+D696-D664</f>
        <v>-38619</v>
      </c>
      <c r="E728" s="34" t="n">
        <f aca="false">E536*(1-Inputs!$B$14)-E568+E696-E664</f>
        <v>-38619</v>
      </c>
      <c r="F728" s="34" t="n">
        <f aca="false">F536*(1-Inputs!$B$14)-F568+F696-F664</f>
        <v>-38619</v>
      </c>
      <c r="G728" s="34" t="n">
        <f aca="false">G536*(1-Inputs!$B$14)-G568+G696-G664</f>
        <v>-38619</v>
      </c>
      <c r="H728" s="34" t="n">
        <f aca="false">H536*(1-Inputs!$B$14)-H568+H696-H664</f>
        <v>-38619</v>
      </c>
    </row>
    <row r="729" customFormat="false" ht="15" hidden="true" customHeight="true" outlineLevel="0" collapsed="false">
      <c r="B729" s="34" t="n">
        <f aca="false">B537*(1-Inputs!$B$14)-B569+B697-B665</f>
        <v>-40815.0770698949</v>
      </c>
      <c r="C729" s="34" t="n">
        <f aca="false">C537*(1-Inputs!$B$14)-C569+C697-C665</f>
        <v>-40815.0770698949</v>
      </c>
      <c r="D729" s="34" t="n">
        <f aca="false">D537*(1-Inputs!$B$14)-D569+D697-D665</f>
        <v>-40815.0770698949</v>
      </c>
      <c r="E729" s="34" t="n">
        <f aca="false">E537*(1-Inputs!$B$14)-E569+E697-E665</f>
        <v>-40815.0770698949</v>
      </c>
      <c r="F729" s="34" t="n">
        <f aca="false">F537*(1-Inputs!$B$14)-F569+F697-F665</f>
        <v>-40815.0770698949</v>
      </c>
      <c r="G729" s="34" t="n">
        <f aca="false">G537*(1-Inputs!$B$14)-G569+G697-G665</f>
        <v>-40815.0770698949</v>
      </c>
      <c r="H729" s="34" t="n">
        <f aca="false">H537*(1-Inputs!$B$14)-H569+H697-H665</f>
        <v>-40815.0770698949</v>
      </c>
    </row>
    <row r="730" customFormat="false" ht="15" hidden="true" customHeight="true" outlineLevel="0" collapsed="false">
      <c r="B730" s="34" t="n">
        <f aca="false">B538*(1-Inputs!$B$14)-B570+B698-B666</f>
        <v>-43784.2893639835</v>
      </c>
      <c r="C730" s="34" t="n">
        <f aca="false">C538*(1-Inputs!$B$14)-C570+C698-C666</f>
        <v>-43509.6093639835</v>
      </c>
      <c r="D730" s="34" t="n">
        <f aca="false">D538*(1-Inputs!$B$14)-D570+D698-D666</f>
        <v>-43234.9293639835</v>
      </c>
      <c r="E730" s="34" t="n">
        <f aca="false">E538*(1-Inputs!$B$14)-E570+E698-E666</f>
        <v>-42960.2493639835</v>
      </c>
      <c r="F730" s="34" t="n">
        <f aca="false">F538*(1-Inputs!$B$14)-F570+F698-F666</f>
        <v>-42685.5693639835</v>
      </c>
      <c r="G730" s="34" t="n">
        <f aca="false">G538*(1-Inputs!$B$14)-G570+G698-G666</f>
        <v>-42410.8893639835</v>
      </c>
      <c r="H730" s="34" t="n">
        <f aca="false">H538*(1-Inputs!$B$14)-H570+H698-H666</f>
        <v>-42136.2093639835</v>
      </c>
    </row>
    <row r="731" customFormat="false" ht="15" hidden="true" customHeight="true" outlineLevel="0" collapsed="false">
      <c r="B731" s="34" t="n">
        <f aca="false">B539*(1-Inputs!$B$14)-B571+B699-B667</f>
        <v>-47590.0107437174</v>
      </c>
      <c r="C731" s="34" t="n">
        <f aca="false">C539*(1-Inputs!$B$14)-C571+C699-C667</f>
        <v>-46746.7431437174</v>
      </c>
      <c r="D731" s="34" t="n">
        <f aca="false">D539*(1-Inputs!$B$14)-D571+D699-D667</f>
        <v>-45897.9819437174</v>
      </c>
      <c r="E731" s="34" t="n">
        <f aca="false">E539*(1-Inputs!$B$14)-E571+E699-E667</f>
        <v>-45043.7271437174</v>
      </c>
      <c r="F731" s="34" t="n">
        <f aca="false">F539*(1-Inputs!$B$14)-F571+F699-F667</f>
        <v>-44183.9787437174</v>
      </c>
      <c r="G731" s="34" t="n">
        <f aca="false">G539*(1-Inputs!$B$14)-G571+G699-G667</f>
        <v>-43318.7367437174</v>
      </c>
      <c r="H731" s="34" t="n">
        <f aca="false">H539*(1-Inputs!$B$14)-H571+H699-H667</f>
        <v>-42448.0011437174</v>
      </c>
    </row>
    <row r="732" customFormat="false" ht="15" hidden="true" customHeight="true" outlineLevel="0" collapsed="false">
      <c r="B732" s="34" t="n">
        <f aca="false">B540*(1-Inputs!$B$14)-B572+B700-B668</f>
        <v>-52299.6915686755</v>
      </c>
      <c r="C732" s="34" t="n">
        <f aca="false">C540*(1-Inputs!$B$14)-C572+C700-C668</f>
        <v>-50573.5200446754</v>
      </c>
      <c r="D732" s="34" t="n">
        <f aca="false">D540*(1-Inputs!$B$14)-D572+D700-D668</f>
        <v>-48824.8796966754</v>
      </c>
      <c r="E732" s="34" t="n">
        <f aca="false">E540*(1-Inputs!$B$14)-E572+E700-E668</f>
        <v>-47053.6057166755</v>
      </c>
      <c r="F732" s="34" t="n">
        <f aca="false">F540*(1-Inputs!$B$14)-F572+F700-F668</f>
        <v>-45259.5332966754</v>
      </c>
      <c r="G732" s="34" t="n">
        <f aca="false">G540*(1-Inputs!$B$14)-G572+G700-G668</f>
        <v>-43442.4976286754</v>
      </c>
      <c r="H732" s="34" t="n">
        <f aca="false">H540*(1-Inputs!$B$14)-H572+H700-H668</f>
        <v>-41602.3339046754</v>
      </c>
    </row>
    <row r="733" customFormat="false" ht="15" hidden="true" customHeight="true" outlineLevel="0" collapsed="false">
      <c r="B733" s="34" t="n">
        <f aca="false">B541*(1-Inputs!$B$14)-B573+B701-B669</f>
        <v>-57985.2201664441</v>
      </c>
      <c r="C733" s="34" t="n">
        <f aca="false">C541*(1-Inputs!$B$14)-C573+C701-C669</f>
        <v>-55040.1674043241</v>
      </c>
      <c r="D733" s="34" t="n">
        <f aca="false">D541*(1-Inputs!$B$14)-D573+D701-D669</f>
        <v>-52037.673011244</v>
      </c>
      <c r="E733" s="34" t="n">
        <f aca="false">E541*(1-Inputs!$B$14)-E573+E701-E669</f>
        <v>-48976.8931702441</v>
      </c>
      <c r="F733" s="34" t="n">
        <f aca="false">F541*(1-Inputs!$B$14)-F573+F701-F669</f>
        <v>-45856.977472044</v>
      </c>
      <c r="G733" s="34" t="n">
        <f aca="false">G541*(1-Inputs!$B$14)-G573+G701-G669</f>
        <v>-42677.068915044</v>
      </c>
      <c r="H733" s="34" t="n">
        <f aca="false">H541*(1-Inputs!$B$14)-H573+H701-H669</f>
        <v>-39436.3039053241</v>
      </c>
    </row>
    <row r="734" customFormat="false" ht="15" hidden="true" customHeight="true" outlineLevel="0" collapsed="false">
      <c r="B734" s="34" t="n">
        <f aca="false">B542*(1-Inputs!$B$14)-B574+B702-B670</f>
        <v>-64723.0959510914</v>
      </c>
      <c r="C734" s="34" t="n">
        <f aca="false">C542*(1-Inputs!$B$14)-C574+C702-C670</f>
        <v>-60200.1959670974</v>
      </c>
      <c r="D734" s="34" t="n">
        <f aca="false">D542*(1-Inputs!$B$14)-D574+D702-D670</f>
        <v>-55559.8044642817</v>
      </c>
      <c r="E734" s="34" t="n">
        <f aca="false">E542*(1-Inputs!$B$14)-E574+E702-E670</f>
        <v>-50799.329062247</v>
      </c>
      <c r="F734" s="34" t="n">
        <f aca="false">F542*(1-Inputs!$B$14)-F574+F702-F670</f>
        <v>-45916.1367719041</v>
      </c>
      <c r="G734" s="34" t="n">
        <f aca="false">G542*(1-Inputs!$B$14)-G574+G702-G670</f>
        <v>-40907.5536658574</v>
      </c>
      <c r="H734" s="34" t="n">
        <f aca="false">H542*(1-Inputs!$B$14)-H574+H702-H670</f>
        <v>-35770.8645487874</v>
      </c>
    </row>
    <row r="735" customFormat="false" ht="15" hidden="true" customHeight="true" outlineLevel="0" collapsed="false">
      <c r="B735" s="34" t="n">
        <f aca="false">B543*(1-Inputs!$B$14)-B575+B703-B671</f>
        <v>-72594.7455059605</v>
      </c>
      <c r="C735" s="34" t="n">
        <f aca="false">C543*(1-Inputs!$B$14)-C575+C703-C671</f>
        <v>-66110.6360262186</v>
      </c>
      <c r="D735" s="34" t="n">
        <f aca="false">D543*(1-Inputs!$B$14)-D575+D703-D671</f>
        <v>-59416.2271975987</v>
      </c>
      <c r="E735" s="34" t="n">
        <f aca="false">E543*(1-Inputs!$B$14)-E575+E703-E671</f>
        <v>-52505.3241227269</v>
      </c>
      <c r="F735" s="34" t="n">
        <f aca="false">F543*(1-Inputs!$B$14)-F575+F703-F671</f>
        <v>-45371.5859759739</v>
      </c>
      <c r="G735" s="34" t="n">
        <f aca="false">G543*(1-Inputs!$B$14)-G575+G703-G671</f>
        <v>-38008.5236269249</v>
      </c>
      <c r="H735" s="34" t="n">
        <f aca="false">H543*(1-Inputs!$B$14)-H575+H703-H671</f>
        <v>-30409.4972440705</v>
      </c>
    </row>
    <row r="736" customFormat="false" ht="15" hidden="true" customHeight="true" outlineLevel="0" collapsed="false">
      <c r="B736" s="34" t="n">
        <f aca="false">B544*(1-Inputs!$B$14)-B576+B704-B672</f>
        <v>-81686.7930259591</v>
      </c>
      <c r="C736" s="34" t="n">
        <f aca="false">C544*(1-Inputs!$B$14)-C576+C704-C672</f>
        <v>-72832.2231257573</v>
      </c>
      <c r="D736" s="34" t="n">
        <f aca="false">D544*(1-Inputs!$B$14)-D576+D704-D672</f>
        <v>-63633.4657001052</v>
      </c>
      <c r="E736" s="34" t="n">
        <f aca="false">E544*(1-Inputs!$B$14)-E576+E704-E672</f>
        <v>-54077.8310242412</v>
      </c>
      <c r="F736" s="34" t="n">
        <f aca="false">F544*(1-Inputs!$B$14)-F576+F704-F672</f>
        <v>-44152.2298121232</v>
      </c>
      <c r="G736" s="34" t="n">
        <f aca="false">G544*(1-Inputs!$B$14)-G576+G704-G672</f>
        <v>-33843.1634246595</v>
      </c>
      <c r="H736" s="34" t="n">
        <f aca="false">H544*(1-Inputs!$B$14)-H576+H704-H672</f>
        <v>-23136.713914381</v>
      </c>
    </row>
    <row r="737" customFormat="false" ht="15" hidden="true" customHeight="true" outlineLevel="0" collapsed="false">
      <c r="B737" s="34" t="n">
        <f aca="false">B545*(1-Inputs!$B$14)-B577+B705-B673</f>
        <v>-92091.3665987499</v>
      </c>
      <c r="C737" s="34" t="n">
        <f aca="false">C545*(1-Inputs!$B$14)-C577+C705-C673</f>
        <v>-80429.6145143439</v>
      </c>
      <c r="D737" s="34" t="n">
        <f aca="false">D545*(1-Inputs!$B$14)-D577+D705-D673</f>
        <v>-68239.6997559746</v>
      </c>
      <c r="E737" s="34" t="n">
        <f aca="false">E545*(1-Inputs!$B$14)-E577+E705-E673</f>
        <v>-55498.2262813739</v>
      </c>
      <c r="F737" s="34" t="n">
        <f aca="false">F545*(1-Inputs!$B$14)-F577+F705-F673</f>
        <v>-42180.8749155519</v>
      </c>
      <c r="G737" s="34" t="n">
        <f aca="false">G545*(1-Inputs!$B$14)-G577+G705-G673</f>
        <v>-28262.3730913744</v>
      </c>
      <c r="H737" s="34" t="n">
        <f aca="false">H545*(1-Inputs!$B$14)-H577+H705-H673</f>
        <v>-13716.463829264</v>
      </c>
    </row>
    <row r="738" customFormat="false" ht="15" hidden="true" customHeight="true" outlineLevel="0" collapsed="false">
      <c r="B738" s="34" t="n">
        <f aca="false">B546*(1-Inputs!$B$14)-B578+B706-B674</f>
        <v>-103906.431893548</v>
      </c>
      <c r="C738" s="34" t="n">
        <f aca="false">C546*(1-Inputs!$B$14)-C578+C706-C674</f>
        <v>-88971.6276139839</v>
      </c>
      <c r="D738" s="34" t="n">
        <f aca="false">D546*(1-Inputs!$B$14)-D578+D706-D674</f>
        <v>-73264.8623652888</v>
      </c>
      <c r="E738" s="34" t="n">
        <f aca="false">E546*(1-Inputs!$B$14)-E578+E706-E674</f>
        <v>-56746.1933437081</v>
      </c>
      <c r="F738" s="34" t="n">
        <f aca="false">F546*(1-Inputs!$B$14)-F578+F706-F674</f>
        <v>-39373.781845765</v>
      </c>
      <c r="G738" s="34" t="n">
        <f aca="false">G546*(1-Inputs!$B$14)-G578+G706-G674</f>
        <v>-21103.8153392323</v>
      </c>
      <c r="H738" s="34" t="n">
        <f aca="false">H546*(1-Inputs!$B$14)-H578+H706-H674</f>
        <v>-1890.42691200724</v>
      </c>
    </row>
    <row r="739" customFormat="false" ht="15" hidden="true" customHeight="true" outlineLevel="0" collapsed="false">
      <c r="B739" s="34" t="n">
        <f aca="false">B547*(1-Inputs!$B$14)-B579+B707-B675</f>
        <v>-117236.124920904</v>
      </c>
      <c r="C739" s="34" t="n">
        <f aca="false">C547*(1-Inputs!$B$14)-C579+C707-C675</f>
        <v>-98531.4718437709</v>
      </c>
      <c r="D739" s="34" t="n">
        <f aca="false">D547*(1-Inputs!$B$14)-D579+D707-D675</f>
        <v>-78740.722492533</v>
      </c>
      <c r="E739" s="34" t="n">
        <f aca="false">E547*(1-Inputs!$B$14)-E579+E707-E675</f>
        <v>-57799.5769502491</v>
      </c>
      <c r="F739" s="34" t="n">
        <f aca="false">F547*(1-Inputs!$B$14)-F579+F707-F675</f>
        <v>-35640.1658521168</v>
      </c>
      <c r="G739" s="34" t="n">
        <f aca="false">G547*(1-Inputs!$B$14)-G579+G707-G675</f>
        <v>-12190.8737650064</v>
      </c>
      <c r="H739" s="34" t="n">
        <f aca="false">H547*(1-Inputs!$B$14)-H579+H707-H675</f>
        <v>12623.8448881686</v>
      </c>
    </row>
    <row r="740" customFormat="false" ht="15" hidden="true" customHeight="true" outlineLevel="0" collapsed="false">
      <c r="B740" s="34" t="n">
        <f aca="false">B548*(1-Inputs!$B$14)-B580+B708-B676</f>
        <v>-132191.105627217</v>
      </c>
      <c r="C740" s="34" t="n">
        <f aca="false">C548*(1-Inputs!$B$14)-C580+C708-C676</f>
        <v>-109186.995219252</v>
      </c>
      <c r="D740" s="34" t="n">
        <f aca="false">D548*(1-Inputs!$B$14)-D580+D708-D676</f>
        <v>-84700.9735501589</v>
      </c>
      <c r="E740" s="34" t="n">
        <f aca="false">E548*(1-Inputs!$B$14)-E580+E708-E676</f>
        <v>-58634.2288172632</v>
      </c>
      <c r="F740" s="34" t="n">
        <f aca="false">F548*(1-Inputs!$B$14)-F580+F708-F676</f>
        <v>-30881.6649954394</v>
      </c>
      <c r="G740" s="34" t="n">
        <f aca="false">G548*(1-Inputs!$B$14)-G580+G708-G676</f>
        <v>-1331.53791322612</v>
      </c>
      <c r="H740" s="34" t="n">
        <f aca="false">H548*(1-Inputs!$B$14)-H580+H708-H676</f>
        <v>30134.9271707578</v>
      </c>
    </row>
    <row r="741" customFormat="false" ht="15" hidden="true" customHeight="true" outlineLevel="0" collapsed="false">
      <c r="B741" s="34" t="n">
        <f aca="false">B549*(1-Inputs!$B$14)-B581+B709-B677</f>
        <v>-148888.934194143</v>
      </c>
      <c r="C741" s="34" t="n">
        <f aca="false">C549*(1-Inputs!$B$14)-C581+C709-C677</f>
        <v>-121020.947234036</v>
      </c>
      <c r="D741" s="34" t="n">
        <f aca="false">D549*(1-Inputs!$B$14)-D581+D709-D677</f>
        <v>-91181.3285794177</v>
      </c>
      <c r="E741" s="34" t="n">
        <f aca="false">E549*(1-Inputs!$B$14)-E581+E709-E677</f>
        <v>-59223.8447357015</v>
      </c>
      <c r="F741" s="34" t="n">
        <f aca="false">F549*(1-Inputs!$B$14)-F581+F709-F677</f>
        <v>-24991.774144842</v>
      </c>
      <c r="G741" s="34" t="n">
        <f aca="false">G549*(1-Inputs!$B$14)-G581+G709-G677</f>
        <v>11682.7891458629</v>
      </c>
      <c r="H741" s="34" t="n">
        <f aca="false">H549*(1-Inputs!$B$14)-H581+H709-H677</f>
        <v>50979.673260089</v>
      </c>
    </row>
    <row r="742" customFormat="false" ht="15" hidden="true" customHeight="true" outlineLevel="0" collapsed="false">
      <c r="B742" s="34" t="n">
        <f aca="false">B550*(1-Inputs!$B$14)-B582+B710-B678</f>
        <v>-167454.462025867</v>
      </c>
      <c r="C742" s="34" t="n">
        <f aca="false">C550*(1-Inputs!$B$14)-C582+C710-C678</f>
        <v>-134121.249621212</v>
      </c>
      <c r="D742" s="34" t="n">
        <f aca="false">D550*(1-Inputs!$B$14)-D582+D710-D678</f>
        <v>-98219.613148953</v>
      </c>
      <c r="E742" s="34" t="n">
        <f aca="false">E550*(1-Inputs!$B$14)-E582+E710-E678</f>
        <v>-59539.7831588311</v>
      </c>
      <c r="F742" s="34" t="n">
        <f aca="false">F550*(1-Inputs!$B$14)-F582+F710-F678</f>
        <v>-17855.2332748059</v>
      </c>
      <c r="G742" s="34" t="n">
        <f aca="false">G550*(1-Inputs!$B$14)-G582+G710-G678</f>
        <v>27078.5753558742</v>
      </c>
      <c r="H742" s="34" t="n">
        <f aca="false">H550*(1-Inputs!$B$14)-H582+H710-H678</f>
        <v>75525.5353253009</v>
      </c>
    </row>
    <row r="743" customFormat="false" ht="15" hidden="true" customHeight="true" outlineLevel="0" collapsed="false">
      <c r="B743" s="34" t="n">
        <f aca="false">B551*(1-Inputs!$B$14)-B583+B711-B679</f>
        <v>-188020.279526799</v>
      </c>
      <c r="C743" s="34" t="n">
        <f aca="false">C551*(1-Inputs!$B$14)-C583+C711-C679</f>
        <v>-148581.316688654</v>
      </c>
      <c r="D743" s="34" t="n">
        <f aca="false">D551*(1-Inputs!$B$14)-D583+D711-D679</f>
        <v>-105855.89705346</v>
      </c>
      <c r="E743" s="34" t="n">
        <f aca="false">E551*(1-Inputs!$B$14)-E583+E711-E679</f>
        <v>-59550.9053654213</v>
      </c>
      <c r="F743" s="34" t="n">
        <f aca="false">F551*(1-Inputs!$B$14)-F583+F711-F679</f>
        <v>-9347.40838792082</v>
      </c>
      <c r="G743" s="34" t="n">
        <f aca="false">G551*(1-Inputs!$B$14)-G583+G711-G679</f>
        <v>45101.5012712476</v>
      </c>
      <c r="H743" s="34" t="n">
        <f aca="false">H551*(1-Inputs!$B$14)-H583+H711-H679</f>
        <v>104173.027522101</v>
      </c>
    </row>
    <row r="744" customFormat="false" ht="15" hidden="true" customHeight="true" outlineLevel="0" collapsed="false">
      <c r="B744" s="34" t="n">
        <f aca="false">B552*(1-Inputs!$B$14)-B584+B712-B680</f>
        <v>-210727.112899072</v>
      </c>
      <c r="C744" s="34" t="n">
        <f aca="false">C552*(1-Inputs!$B$14)-C584+C712-C680</f>
        <v>-164500.317024535</v>
      </c>
      <c r="D744" s="34" t="n">
        <f aca="false">D552*(1-Inputs!$B$14)-D584+D712-D680</f>
        <v>-114132.555960245</v>
      </c>
      <c r="E744" s="34" t="n">
        <f aca="false">E552*(1-Inputs!$B$14)-E584+E712-E680</f>
        <v>-59223.3272888219</v>
      </c>
      <c r="F744" s="34" t="n">
        <f aca="false">F552*(1-Inputs!$B$14)-F584+F712-F680</f>
        <v>666.446717402723</v>
      </c>
      <c r="G744" s="34" t="n">
        <f aca="false">G552*(1-Inputs!$B$14)-G584+G712-G680</f>
        <v>66017.9739789288</v>
      </c>
      <c r="H744" s="34" t="n">
        <f aca="false">H552*(1-Inputs!$B$14)-H584+H712-H680</f>
        <v>137358.453020824</v>
      </c>
    </row>
    <row r="745" customFormat="false" ht="15" hidden="true" customHeight="true" outlineLevel="0" collapsed="false">
      <c r="B745" s="34" t="n">
        <f aca="false">B553*(1-Inputs!$B$14)-B585+B713-B681</f>
        <v>-235724.322323605</v>
      </c>
      <c r="C745" s="34" t="n">
        <f aca="false">C553*(1-Inputs!$B$14)-C585+C713-C681</f>
        <v>-181983.528477831</v>
      </c>
      <c r="D745" s="34" t="n">
        <f aca="false">D553*(1-Inputs!$B$14)-D585+D713-D681</f>
        <v>-123094.414221019</v>
      </c>
      <c r="E745" s="34" t="n">
        <f aca="false">E553*(1-Inputs!$B$14)-E585+E713-E681</f>
        <v>-58520.2331075739</v>
      </c>
      <c r="F745" s="34" t="n">
        <f aca="false">F553*(1-Inputs!$B$14)-F585+F713-F681</f>
        <v>12331.8997274932</v>
      </c>
      <c r="G745" s="34" t="n">
        <f aca="false">G553*(1-Inputs!$B$14)-G585+G713-G681</f>
        <v>90116.6689607513</v>
      </c>
      <c r="H745" s="34" t="n">
        <f aca="false">H553*(1-Inputs!$B$14)-H585+H713-H681</f>
        <v>175556.757626432</v>
      </c>
    </row>
    <row r="746" customFormat="false" ht="15" hidden="true" customHeight="true" outlineLevel="0" collapsed="false">
      <c r="B746" s="34" t="n">
        <f aca="false">B554*(1-Inputs!$B$14)-B586+B714-B682</f>
        <v>-263170.38403103</v>
      </c>
      <c r="C746" s="34" t="n">
        <f aca="false">C554*(1-Inputs!$B$14)-C586+C714-C682</f>
        <v>-201142.668433559</v>
      </c>
      <c r="D746" s="34" t="n">
        <f aca="false">D554*(1-Inputs!$B$14)-D586+D714-D682</f>
        <v>-132788.850139912</v>
      </c>
      <c r="E746" s="34" t="n">
        <f aca="false">E554*(1-Inputs!$B$14)-E586+E714-E682</f>
        <v>-57401.6306987969</v>
      </c>
      <c r="F746" s="34" t="n">
        <f aca="false">F554*(1-Inputs!$B$14)-F586+F714-F682</f>
        <v>25806.1421550738</v>
      </c>
      <c r="G746" s="34" t="n">
        <f aca="false">G554*(1-Inputs!$B$14)-G586+G714-G682</f>
        <v>117710.225883746</v>
      </c>
      <c r="H746" s="34" t="n">
        <f aca="false">H554*(1-Inputs!$B$14)-H586+H714-H682</f>
        <v>219284.643595451</v>
      </c>
    </row>
    <row r="747" customFormat="false" ht="15" hidden="true" customHeight="true" outlineLevel="0" collapsed="false">
      <c r="B747" s="34" t="n">
        <f aca="false">B555*(1-Inputs!$B$14)-B587+B715-B683</f>
        <v>-293233.408919845</v>
      </c>
      <c r="C747" s="34" t="n">
        <f aca="false">C555*(1-Inputs!$B$14)-C587+C715-C683</f>
        <v>-222096.251524363</v>
      </c>
      <c r="D747" s="34" t="n">
        <f aca="false">D555*(1-Inputs!$B$14)-D587+D715-D683</f>
        <v>-143265.915066834</v>
      </c>
      <c r="E747" s="34" t="n">
        <f aca="false">E555*(1-Inputs!$B$14)-E587+E715-E683</f>
        <v>-55824.0990615395</v>
      </c>
      <c r="F747" s="34" t="n">
        <f aca="false">F555*(1-Inputs!$B$14)-F587+F715-F683</f>
        <v>41258.8368818432</v>
      </c>
      <c r="G747" s="34" t="n">
        <f aca="false">G555*(1-Inputs!$B$14)-G587+G715-G683</f>
        <v>149137.054700845</v>
      </c>
      <c r="H747" s="34" t="n">
        <f aca="false">H555*(1-Inputs!$B$14)-H587+H715-H683</f>
        <v>269103.908216435</v>
      </c>
    </row>
    <row r="748" customFormat="false" ht="15" hidden="true" customHeight="true" outlineLevel="0" collapsed="false">
      <c r="B748" s="34" t="n">
        <f aca="false">B556*(1-Inputs!$B$14)-B588+B716-B684</f>
        <v>-326091.660539299</v>
      </c>
      <c r="C748" s="34" t="n">
        <f aca="false">C556*(1-Inputs!$B$14)-C588+C716-C684</f>
        <v>-244969.937049306</v>
      </c>
      <c r="D748" s="34" t="n">
        <f aca="false">D556*(1-Inputs!$B$14)-D588+D716-D684</f>
        <v>-154578.427768115</v>
      </c>
      <c r="E748" s="34" t="n">
        <f aca="false">E556*(1-Inputs!$B$14)-E588+E716-E684</f>
        <v>-53740.4878235741</v>
      </c>
      <c r="F748" s="34" t="n">
        <f aca="false">F556*(1-Inputs!$B$14)-F588+F716-F684</f>
        <v>58873.053176684</v>
      </c>
      <c r="G748" s="34" t="n">
        <f aca="false">G556*(1-Inputs!$B$14)-G588+G716-G684</f>
        <v>184763.29886521</v>
      </c>
      <c r="H748" s="34" t="n">
        <f aca="false">H556*(1-Inputs!$B$14)-H588+H716-H684</f>
        <v>325625.062748499</v>
      </c>
    </row>
    <row r="749" customFormat="false" ht="15" hidden="true" customHeight="true" outlineLevel="0" collapsed="false">
      <c r="B749" s="34" t="n">
        <f aca="false">B557*(1-Inputs!$B$14)-B589+B717-B685</f>
        <v>-361934.165424353</v>
      </c>
      <c r="C749" s="34" t="n">
        <f aca="false">C557*(1-Inputs!$B$14)-C589+C717-C685</f>
        <v>-269896.958507669</v>
      </c>
      <c r="D749" s="34" t="n">
        <f aca="false">D557*(1-Inputs!$B$14)-D589+D717-D685</f>
        <v>-166782.135614163</v>
      </c>
      <c r="E749" s="34" t="n">
        <f aca="false">E557*(1-Inputs!$B$14)-E589+E717-E685</f>
        <v>-51099.6589517844</v>
      </c>
      <c r="F749" s="34" t="n">
        <f aca="false">F557*(1-Inputs!$B$14)-F589+F717-F685</f>
        <v>78846.2016074318</v>
      </c>
      <c r="G749" s="34" t="n">
        <f aca="false">G557*(1-Inputs!$B$14)-G589+G717-G685</f>
        <v>224984.872909334</v>
      </c>
      <c r="H749" s="34" t="n">
        <f aca="false">H557*(1-Inputs!$B$14)-H589+H717-H685</f>
        <v>389511.158411457</v>
      </c>
    </row>
    <row r="750" customFormat="false" ht="15" hidden="true" customHeight="true" outlineLevel="0" collapsed="false">
      <c r="B750" s="34" t="n">
        <f aca="false">B558*(1-Inputs!$B$14)-B590+B718-B686</f>
        <v>-400961.288949993</v>
      </c>
      <c r="C750" s="34" t="n">
        <f aca="false">C558*(1-Inputs!$B$14)-C590+C718-C686</f>
        <v>-297018.507800845</v>
      </c>
      <c r="D750" s="34" t="n">
        <f aca="false">D558*(1-Inputs!$B$14)-D590+D718-D686</f>
        <v>-179935.814217004</v>
      </c>
      <c r="E750" s="34" t="n">
        <f aca="false">E558*(1-Inputs!$B$14)-E590+E718-E686</f>
        <v>-47846.1407933543</v>
      </c>
      <c r="F750" s="34" t="n">
        <f aca="false">F558*(1-Inputs!$B$14)-F590+F718-F686</f>
        <v>101391.101416254</v>
      </c>
      <c r="G750" s="34" t="n">
        <f aca="false">G558*(1-Inputs!$B$14)-G590+G718-G686</f>
        <v>270229.712116867</v>
      </c>
      <c r="H750" s="34" t="n">
        <f aca="false">H558*(1-Inputs!$B$14)-H590+H718-H686</f>
        <v>461481.967295752</v>
      </c>
    </row>
    <row r="751" customFormat="false" ht="15" hidden="true" customHeight="true" outlineLevel="0" collapsed="false">
      <c r="B751" s="34" t="n">
        <f aca="false">B559*(1-Inputs!$B$14)-B591+B719-B687</f>
        <v>-443385.36006308</v>
      </c>
      <c r="C751" s="34" t="n">
        <f aca="false">C559*(1-Inputs!$B$14)-C591+C719-C687</f>
        <v>-326484.156809345</v>
      </c>
      <c r="D751" s="34" t="n">
        <f aca="false">D559*(1-Inputs!$B$14)-D591+D719-D687</f>
        <v>-194101.38724924</v>
      </c>
      <c r="E751" s="34" t="n">
        <f aca="false">E559*(1-Inputs!$B$14)-E591+E719-E687</f>
        <v>-43919.7745824552</v>
      </c>
      <c r="F751" s="34" t="n">
        <f aca="false">F559*(1-Inputs!$B$14)-F591+F719-F687</f>
        <v>126737.1030902</v>
      </c>
      <c r="G751" s="34" t="n">
        <f aca="false">G559*(1-Inputs!$B$14)-G591+G719-G687</f>
        <v>320960.162522602</v>
      </c>
      <c r="H751" s="34" t="n">
        <f aca="false">H559*(1-Inputs!$B$14)-H591+H719-H687</f>
        <v>542318.457315984</v>
      </c>
    </row>
    <row r="752" customFormat="false" ht="15" hidden="true" customHeight="true" outlineLevel="0" collapsed="false">
      <c r="B752" s="34" t="n">
        <f aca="false">B560*(1-Inputs!$B$14)-B592+B720-B688</f>
        <v>-489431.368452139</v>
      </c>
      <c r="C752" s="34" t="n">
        <f aca="false">C560*(1-Inputs!$B$14)-C592+C720-C688</f>
        <v>-358452.339215185</v>
      </c>
      <c r="D752" s="34" t="n">
        <f aca="false">D560*(1-Inputs!$B$14)-D592+D720-D688</f>
        <v>-209344.088280659</v>
      </c>
      <c r="E752" s="34" t="n">
        <f aca="false">E560*(1-Inputs!$B$14)-E592+E720-E688</f>
        <v>-39255.3735550506</v>
      </c>
      <c r="F752" s="34" t="n">
        <f aca="false">F560*(1-Inputs!$B$14)-F592+F720-F688</f>
        <v>155131.249029998</v>
      </c>
      <c r="G752" s="34" t="n">
        <f aca="false">G560*(1-Inputs!$B$14)-G592+G720-G688</f>
        <v>377675.500016235</v>
      </c>
      <c r="H752" s="34" t="n">
        <f aca="false">H560*(1-Inputs!$B$14)-H592+H720-H688</f>
        <v>632867.561673758</v>
      </c>
    </row>
    <row r="753" customFormat="false" ht="15" hidden="true" customHeight="true" outlineLevel="0" collapsed="false">
      <c r="B753" s="34" t="n">
        <f aca="false">B561*(1-Inputs!$B$14)-B593+B721-B689</f>
        <v>-539337.647930002</v>
      </c>
      <c r="C753" s="34" t="n">
        <f aca="false">C561*(1-Inputs!$B$14)-C593+C721-C689</f>
        <v>-393090.805612956</v>
      </c>
      <c r="D753" s="34" t="n">
        <f aca="false">D561*(1-Inputs!$B$14)-D593+D721-D689</f>
        <v>-225732.576579648</v>
      </c>
      <c r="E753" s="34" t="n">
        <f aca="false">E561*(1-Inputs!$B$14)-E593+E721-E689</f>
        <v>-33782.3048228341</v>
      </c>
      <c r="F753" s="34" t="n">
        <f aca="false">F561*(1-Inputs!$B$14)-F593+F721-F689</f>
        <v>186839.56540231</v>
      </c>
      <c r="G753" s="34" t="n">
        <f aca="false">G561*(1-Inputs!$B$14)-G593+G721-G689</f>
        <v>440914.677900402</v>
      </c>
      <c r="H753" s="34" t="n">
        <f aca="false">H561*(1-Inputs!$B$14)-H593+H721-H689</f>
        <v>734047.354729782</v>
      </c>
    </row>
    <row r="754" customFormat="false" ht="15" hidden="true" customHeight="true" outlineLevel="0" collapsed="false">
      <c r="B754" s="34" t="n">
        <f aca="false">B562*(1-Inputs!$B$14)-B594+B722-B690</f>
        <v>-593356.610031563</v>
      </c>
      <c r="C754" s="34" t="n">
        <f aca="false">C562*(1-Inputs!$B$14)-C594+C722-C690</f>
        <v>-430577.11513636</v>
      </c>
      <c r="D754" s="34" t="n">
        <f aca="false">D562*(1-Inputs!$B$14)-D594+D722-D690</f>
        <v>-243339.06894423</v>
      </c>
      <c r="E754" s="34" t="n">
        <f aca="false">E562*(1-Inputs!$B$14)-E594+E722-E690</f>
        <v>-27424.0541662223</v>
      </c>
      <c r="F754" s="34" t="n">
        <f aca="false">F562*(1-Inputs!$B$14)-F594+F722-F690</f>
        <v>222148.428453985</v>
      </c>
      <c r="G754" s="34" t="n">
        <f aca="false">G562*(1-Inputs!$B$14)-G594+G722-G690</f>
        <v>511259.25286529</v>
      </c>
      <c r="H754" s="34" t="n">
        <f aca="false">H562*(1-Inputs!$B$14)-H594+H722-H690</f>
        <v>846852.597717723</v>
      </c>
    </row>
    <row r="755" customFormat="false" ht="15" hidden="true" customHeight="true" outlineLevel="0" collapsed="false">
      <c r="B755" s="34" t="n">
        <f aca="false">B563*(1-Inputs!$B$14)-B595+B723-B691</f>
        <v>-651755.512069892</v>
      </c>
      <c r="C755" s="34" t="n">
        <f aca="false">C563*(1-Inputs!$B$14)-C595+C723-C691</f>
        <v>-471099.147021453</v>
      </c>
      <c r="D755" s="34" t="n">
        <f aca="false">D563*(1-Inputs!$B$14)-D595+D723-D691</f>
        <v>-262239.469752243</v>
      </c>
      <c r="E755" s="34" t="n">
        <f aca="false">E563*(1-Inputs!$B$14)-E595+E723-E691</f>
        <v>-20097.7539157376</v>
      </c>
      <c r="F755" s="34" t="n">
        <f aca="false">F563*(1-Inputs!$B$14)-F595+F723-F691</f>
        <v>261366.028772216</v>
      </c>
      <c r="G755" s="34" t="n">
        <f aca="false">G563*(1-Inputs!$B$14)-G595+G723-G691</f>
        <v>589336.519993227</v>
      </c>
      <c r="H755" s="34" t="n">
        <f aca="false">H563*(1-Inputs!$B$14)-H595+H723-H691</f>
        <v>972360.699370059</v>
      </c>
    </row>
    <row r="756" customFormat="false" ht="15" hidden="true" customHeight="true" outlineLevel="0" collapsed="false">
      <c r="B756" s="34" t="n">
        <f aca="false">B564*(1-Inputs!$B$14)-B596+B724-B692</f>
        <v>-714817.294149519</v>
      </c>
      <c r="C756" s="34" t="n">
        <f aca="false">C564*(1-Inputs!$B$14)-C596+C724-C692</f>
        <v>-514855.665734053</v>
      </c>
      <c r="D756" s="34" t="n">
        <f aca="false">D564*(1-Inputs!$B$14)-D596+D724-D692</f>
        <v>-282513.531552432</v>
      </c>
      <c r="E756" s="34" t="n">
        <f aca="false">E564*(1-Inputs!$B$14)-E596+E724-E692</f>
        <v>-11713.7041011131</v>
      </c>
      <c r="F756" s="34" t="n">
        <f aca="false">F564*(1-Inputs!$B$14)-F596+F724-F692</f>
        <v>304823.907192442</v>
      </c>
      <c r="G756" s="34" t="n">
        <f aca="false">G564*(1-Inputs!$B$14)-G596+G724-G692</f>
        <v>675822.838099467</v>
      </c>
      <c r="H756" s="34" t="n">
        <f aca="false">H564*(1-Inputs!$B$14)-H596+H724-H692</f>
        <v>1111738.08827608</v>
      </c>
    </row>
    <row r="757" customFormat="false" ht="15" hidden="true" customHeight="true" outlineLevel="0" collapsed="false">
      <c r="B757" s="34" t="n">
        <f aca="false">B565*(1-Inputs!$B$14)-B597+B725-B693</f>
        <v>-782841.419906488</v>
      </c>
      <c r="C757" s="34" t="n">
        <f aca="false">C565*(1-Inputs!$B$14)-C597+C725-C693</f>
        <v>-562056.873507333</v>
      </c>
      <c r="D757" s="34" t="n">
        <f aca="false">D565*(1-Inputs!$B$14)-D597+D725-D693</f>
        <v>-304244.978658391</v>
      </c>
      <c r="E757" s="34" t="n">
        <f aca="false">E565*(1-Inputs!$B$14)-E597+E725-E693</f>
        <v>-2174.81705802726</v>
      </c>
      <c r="F757" s="34" t="n">
        <f aca="false">F565*(1-Inputs!$B$14)-F597+F725-F693</f>
        <v>352878.636287289</v>
      </c>
      <c r="G757" s="34" t="n">
        <f aca="false">G565*(1-Inputs!$B$14)-G597+G725-G693</f>
        <v>771447.227452619</v>
      </c>
      <c r="H757" s="34" t="n">
        <f aca="false">H565*(1-Inputs!$B$14)-H597+H725-H693</f>
        <v>1266247.09566186</v>
      </c>
    </row>
    <row r="758" customFormat="false" ht="15" hidden="true" customHeight="true" outlineLevel="0" collapsed="false">
      <c r="B758" s="34" t="n">
        <f aca="false">B566*(1-Inputs!$B$14)-B598+B726-B694</f>
        <v>-856144.756032019</v>
      </c>
      <c r="C758" s="34" t="n">
        <f aca="false">C566*(1-Inputs!$B$14)-C598+C726-C694</f>
        <v>-612924.984367366</v>
      </c>
      <c r="D758" s="34" t="n">
        <f aca="false">D566*(1-Inputs!$B$14)-D598+D726-D694</f>
        <v>-327521.626355947</v>
      </c>
      <c r="E758" s="34" t="n">
        <f aca="false">E566*(1-Inputs!$B$14)-E598+E726-E694</f>
        <v>8623.98430641543</v>
      </c>
      <c r="F758" s="34" t="n">
        <f aca="false">F566*(1-Inputs!$B$14)-F598+F726-F694</f>
        <v>405913.621615535</v>
      </c>
      <c r="G758" s="34" t="n">
        <f aca="false">G566*(1-Inputs!$B$14)-G598+G726-G694</f>
        <v>876995.222702576</v>
      </c>
      <c r="H758" s="34" t="n">
        <f aca="false">H566*(1-Inputs!$B$14)-H598+H726-H694</f>
        <v>1437253.34927946</v>
      </c>
    </row>
    <row r="759" customFormat="false" ht="15" hidden="true" customHeight="true" outlineLevel="0" collapsed="false"/>
    <row r="760" customFormat="false" ht="15" hidden="true" customHeight="true" outlineLevel="0" collapsed="false">
      <c r="A760" s="33" t="s">
        <v>98</v>
      </c>
      <c r="B760" s="33" t="str">
        <f aca="false">IF(B728&gt;=0,0,"")</f>
        <v/>
      </c>
      <c r="C760" s="33" t="str">
        <f aca="false">IF(C728&gt;=0,0,"")</f>
        <v/>
      </c>
      <c r="D760" s="33" t="str">
        <f aca="false">IF(D728&gt;=0,0,"")</f>
        <v/>
      </c>
      <c r="E760" s="33" t="str">
        <f aca="false">IF(E728&gt;=0,0,"")</f>
        <v/>
      </c>
      <c r="F760" s="33" t="str">
        <f aca="false">IF(F728&gt;=0,0,"")</f>
        <v/>
      </c>
      <c r="G760" s="33" t="str">
        <f aca="false">IF(G728&gt;=0,0,"")</f>
        <v/>
      </c>
      <c r="H760" s="33" t="str">
        <f aca="false">IF(H728&gt;=0,0,"")</f>
        <v/>
      </c>
    </row>
    <row r="761" customFormat="false" ht="15" hidden="true" customHeight="true" outlineLevel="0" collapsed="false">
      <c r="B761" s="33" t="str">
        <f aca="false">IF(B760&lt;&gt;"",B760,IF(B729&gt;=0,1,""))</f>
        <v/>
      </c>
      <c r="C761" s="33" t="str">
        <f aca="false">IF(C760&lt;&gt;"",C760,IF(C729&gt;=0,1,""))</f>
        <v/>
      </c>
      <c r="D761" s="33" t="str">
        <f aca="false">IF(D760&lt;&gt;"",D760,IF(D729&gt;=0,1,""))</f>
        <v/>
      </c>
      <c r="E761" s="33" t="str">
        <f aca="false">IF(E760&lt;&gt;"",E760,IF(E729&gt;=0,1,""))</f>
        <v/>
      </c>
      <c r="F761" s="33" t="str">
        <f aca="false">IF(F760&lt;&gt;"",F760,IF(F729&gt;=0,1,""))</f>
        <v/>
      </c>
      <c r="G761" s="33" t="str">
        <f aca="false">IF(G760&lt;&gt;"",G760,IF(G729&gt;=0,1,""))</f>
        <v/>
      </c>
      <c r="H761" s="33" t="str">
        <f aca="false">IF(H760&lt;&gt;"",H760,IF(H729&gt;=0,1,""))</f>
        <v/>
      </c>
    </row>
    <row r="762" customFormat="false" ht="15" hidden="true" customHeight="true" outlineLevel="0" collapsed="false">
      <c r="B762" s="33" t="str">
        <f aca="false">IF(B761&lt;&gt;"",B761,IF(B730&gt;=0,2,""))</f>
        <v/>
      </c>
      <c r="C762" s="33" t="str">
        <f aca="false">IF(C761&lt;&gt;"",C761,IF(C730&gt;=0,2,""))</f>
        <v/>
      </c>
      <c r="D762" s="33" t="str">
        <f aca="false">IF(D761&lt;&gt;"",D761,IF(D730&gt;=0,2,""))</f>
        <v/>
      </c>
      <c r="E762" s="33" t="str">
        <f aca="false">IF(E761&lt;&gt;"",E761,IF(E730&gt;=0,2,""))</f>
        <v/>
      </c>
      <c r="F762" s="33" t="str">
        <f aca="false">IF(F761&lt;&gt;"",F761,IF(F730&gt;=0,2,""))</f>
        <v/>
      </c>
      <c r="G762" s="33" t="str">
        <f aca="false">IF(G761&lt;&gt;"",G761,IF(G730&gt;=0,2,""))</f>
        <v/>
      </c>
      <c r="H762" s="33" t="str">
        <f aca="false">IF(H761&lt;&gt;"",H761,IF(H730&gt;=0,2,""))</f>
        <v/>
      </c>
    </row>
    <row r="763" customFormat="false" ht="15" hidden="true" customHeight="true" outlineLevel="0" collapsed="false">
      <c r="B763" s="33" t="str">
        <f aca="false">IF(B762&lt;&gt;"",B762,IF(B731&gt;=0,3,""))</f>
        <v/>
      </c>
      <c r="C763" s="33" t="str">
        <f aca="false">IF(C762&lt;&gt;"",C762,IF(C731&gt;=0,3,""))</f>
        <v/>
      </c>
      <c r="D763" s="33" t="str">
        <f aca="false">IF(D762&lt;&gt;"",D762,IF(D731&gt;=0,3,""))</f>
        <v/>
      </c>
      <c r="E763" s="33" t="str">
        <f aca="false">IF(E762&lt;&gt;"",E762,IF(E731&gt;=0,3,""))</f>
        <v/>
      </c>
      <c r="F763" s="33" t="str">
        <f aca="false">IF(F762&lt;&gt;"",F762,IF(F731&gt;=0,3,""))</f>
        <v/>
      </c>
      <c r="G763" s="33" t="str">
        <f aca="false">IF(G762&lt;&gt;"",G762,IF(G731&gt;=0,3,""))</f>
        <v/>
      </c>
      <c r="H763" s="33" t="str">
        <f aca="false">IF(H762&lt;&gt;"",H762,IF(H731&gt;=0,3,""))</f>
        <v/>
      </c>
    </row>
    <row r="764" customFormat="false" ht="15" hidden="true" customHeight="true" outlineLevel="0" collapsed="false">
      <c r="B764" s="33" t="str">
        <f aca="false">IF(B763&lt;&gt;"",B763,IF(B732&gt;=0,4,""))</f>
        <v/>
      </c>
      <c r="C764" s="33" t="str">
        <f aca="false">IF(C763&lt;&gt;"",C763,IF(C732&gt;=0,4,""))</f>
        <v/>
      </c>
      <c r="D764" s="33" t="str">
        <f aca="false">IF(D763&lt;&gt;"",D763,IF(D732&gt;=0,4,""))</f>
        <v/>
      </c>
      <c r="E764" s="33" t="str">
        <f aca="false">IF(E763&lt;&gt;"",E763,IF(E732&gt;=0,4,""))</f>
        <v/>
      </c>
      <c r="F764" s="33" t="str">
        <f aca="false">IF(F763&lt;&gt;"",F763,IF(F732&gt;=0,4,""))</f>
        <v/>
      </c>
      <c r="G764" s="33" t="str">
        <f aca="false">IF(G763&lt;&gt;"",G763,IF(G732&gt;=0,4,""))</f>
        <v/>
      </c>
      <c r="H764" s="33" t="str">
        <f aca="false">IF(H763&lt;&gt;"",H763,IF(H732&gt;=0,4,""))</f>
        <v/>
      </c>
    </row>
    <row r="765" customFormat="false" ht="15" hidden="true" customHeight="true" outlineLevel="0" collapsed="false">
      <c r="B765" s="33" t="str">
        <f aca="false">IF(B764&lt;&gt;"",B764,IF(B733&gt;=0,5,""))</f>
        <v/>
      </c>
      <c r="C765" s="33" t="str">
        <f aca="false">IF(C764&lt;&gt;"",C764,IF(C733&gt;=0,5,""))</f>
        <v/>
      </c>
      <c r="D765" s="33" t="str">
        <f aca="false">IF(D764&lt;&gt;"",D764,IF(D733&gt;=0,5,""))</f>
        <v/>
      </c>
      <c r="E765" s="33" t="str">
        <f aca="false">IF(E764&lt;&gt;"",E764,IF(E733&gt;=0,5,""))</f>
        <v/>
      </c>
      <c r="F765" s="33" t="str">
        <f aca="false">IF(F764&lt;&gt;"",F764,IF(F733&gt;=0,5,""))</f>
        <v/>
      </c>
      <c r="G765" s="33" t="str">
        <f aca="false">IF(G764&lt;&gt;"",G764,IF(G733&gt;=0,5,""))</f>
        <v/>
      </c>
      <c r="H765" s="33" t="str">
        <f aca="false">IF(H764&lt;&gt;"",H764,IF(H733&gt;=0,5,""))</f>
        <v/>
      </c>
    </row>
    <row r="766" customFormat="false" ht="15" hidden="true" customHeight="true" outlineLevel="0" collapsed="false">
      <c r="B766" s="33" t="str">
        <f aca="false">IF(B765&lt;&gt;"",B765,IF(B734&gt;=0,6,""))</f>
        <v/>
      </c>
      <c r="C766" s="33" t="str">
        <f aca="false">IF(C765&lt;&gt;"",C765,IF(C734&gt;=0,6,""))</f>
        <v/>
      </c>
      <c r="D766" s="33" t="str">
        <f aca="false">IF(D765&lt;&gt;"",D765,IF(D734&gt;=0,6,""))</f>
        <v/>
      </c>
      <c r="E766" s="33" t="str">
        <f aca="false">IF(E765&lt;&gt;"",E765,IF(E734&gt;=0,6,""))</f>
        <v/>
      </c>
      <c r="F766" s="33" t="str">
        <f aca="false">IF(F765&lt;&gt;"",F765,IF(F734&gt;=0,6,""))</f>
        <v/>
      </c>
      <c r="G766" s="33" t="str">
        <f aca="false">IF(G765&lt;&gt;"",G765,IF(G734&gt;=0,6,""))</f>
        <v/>
      </c>
      <c r="H766" s="33" t="str">
        <f aca="false">IF(H765&lt;&gt;"",H765,IF(H734&gt;=0,6,""))</f>
        <v/>
      </c>
    </row>
    <row r="767" customFormat="false" ht="15" hidden="true" customHeight="true" outlineLevel="0" collapsed="false">
      <c r="B767" s="33" t="str">
        <f aca="false">IF(B766&lt;&gt;"",B766,IF(B735&gt;=0,7,""))</f>
        <v/>
      </c>
      <c r="C767" s="33" t="str">
        <f aca="false">IF(C766&lt;&gt;"",C766,IF(C735&gt;=0,7,""))</f>
        <v/>
      </c>
      <c r="D767" s="33" t="str">
        <f aca="false">IF(D766&lt;&gt;"",D766,IF(D735&gt;=0,7,""))</f>
        <v/>
      </c>
      <c r="E767" s="33" t="str">
        <f aca="false">IF(E766&lt;&gt;"",E766,IF(E735&gt;=0,7,""))</f>
        <v/>
      </c>
      <c r="F767" s="33" t="str">
        <f aca="false">IF(F766&lt;&gt;"",F766,IF(F735&gt;=0,7,""))</f>
        <v/>
      </c>
      <c r="G767" s="33" t="str">
        <f aca="false">IF(G766&lt;&gt;"",G766,IF(G735&gt;=0,7,""))</f>
        <v/>
      </c>
      <c r="H767" s="33" t="str">
        <f aca="false">IF(H766&lt;&gt;"",H766,IF(H735&gt;=0,7,""))</f>
        <v/>
      </c>
    </row>
    <row r="768" customFormat="false" ht="15" hidden="true" customHeight="true" outlineLevel="0" collapsed="false">
      <c r="B768" s="33" t="str">
        <f aca="false">IF(B767&lt;&gt;"",B767,IF(B736&gt;=0,8,""))</f>
        <v/>
      </c>
      <c r="C768" s="33" t="str">
        <f aca="false">IF(C767&lt;&gt;"",C767,IF(C736&gt;=0,8,""))</f>
        <v/>
      </c>
      <c r="D768" s="33" t="str">
        <f aca="false">IF(D767&lt;&gt;"",D767,IF(D736&gt;=0,8,""))</f>
        <v/>
      </c>
      <c r="E768" s="33" t="str">
        <f aca="false">IF(E767&lt;&gt;"",E767,IF(E736&gt;=0,8,""))</f>
        <v/>
      </c>
      <c r="F768" s="33" t="str">
        <f aca="false">IF(F767&lt;&gt;"",F767,IF(F736&gt;=0,8,""))</f>
        <v/>
      </c>
      <c r="G768" s="33" t="str">
        <f aca="false">IF(G767&lt;&gt;"",G767,IF(G736&gt;=0,8,""))</f>
        <v/>
      </c>
      <c r="H768" s="33" t="str">
        <f aca="false">IF(H767&lt;&gt;"",H767,IF(H736&gt;=0,8,""))</f>
        <v/>
      </c>
    </row>
    <row r="769" customFormat="false" ht="15" hidden="true" customHeight="true" outlineLevel="0" collapsed="false">
      <c r="B769" s="33" t="str">
        <f aca="false">IF(B768&lt;&gt;"",B768,IF(B737&gt;=0,9,""))</f>
        <v/>
      </c>
      <c r="C769" s="33" t="str">
        <f aca="false">IF(C768&lt;&gt;"",C768,IF(C737&gt;=0,9,""))</f>
        <v/>
      </c>
      <c r="D769" s="33" t="str">
        <f aca="false">IF(D768&lt;&gt;"",D768,IF(D737&gt;=0,9,""))</f>
        <v/>
      </c>
      <c r="E769" s="33" t="str">
        <f aca="false">IF(E768&lt;&gt;"",E768,IF(E737&gt;=0,9,""))</f>
        <v/>
      </c>
      <c r="F769" s="33" t="str">
        <f aca="false">IF(F768&lt;&gt;"",F768,IF(F737&gt;=0,9,""))</f>
        <v/>
      </c>
      <c r="G769" s="33" t="str">
        <f aca="false">IF(G768&lt;&gt;"",G768,IF(G737&gt;=0,9,""))</f>
        <v/>
      </c>
      <c r="H769" s="33" t="str">
        <f aca="false">IF(H768&lt;&gt;"",H768,IF(H737&gt;=0,9,""))</f>
        <v/>
      </c>
    </row>
    <row r="770" customFormat="false" ht="15" hidden="true" customHeight="true" outlineLevel="0" collapsed="false">
      <c r="B770" s="33" t="str">
        <f aca="false">IF(B769&lt;&gt;"",B769,IF(B738&gt;=0,10,""))</f>
        <v/>
      </c>
      <c r="C770" s="33" t="str">
        <f aca="false">IF(C769&lt;&gt;"",C769,IF(C738&gt;=0,10,""))</f>
        <v/>
      </c>
      <c r="D770" s="33" t="str">
        <f aca="false">IF(D769&lt;&gt;"",D769,IF(D738&gt;=0,10,""))</f>
        <v/>
      </c>
      <c r="E770" s="33" t="str">
        <f aca="false">IF(E769&lt;&gt;"",E769,IF(E738&gt;=0,10,""))</f>
        <v/>
      </c>
      <c r="F770" s="33" t="str">
        <f aca="false">IF(F769&lt;&gt;"",F769,IF(F738&gt;=0,10,""))</f>
        <v/>
      </c>
      <c r="G770" s="33" t="str">
        <f aca="false">IF(G769&lt;&gt;"",G769,IF(G738&gt;=0,10,""))</f>
        <v/>
      </c>
      <c r="H770" s="33" t="str">
        <f aca="false">IF(H769&lt;&gt;"",H769,IF(H738&gt;=0,10,""))</f>
        <v/>
      </c>
    </row>
    <row r="771" customFormat="false" ht="15" hidden="true" customHeight="true" outlineLevel="0" collapsed="false">
      <c r="B771" s="33" t="str">
        <f aca="false">IF(B770&lt;&gt;"",B770,IF(B739&gt;=0,11,""))</f>
        <v/>
      </c>
      <c r="C771" s="33" t="str">
        <f aca="false">IF(C770&lt;&gt;"",C770,IF(C739&gt;=0,11,""))</f>
        <v/>
      </c>
      <c r="D771" s="33" t="str">
        <f aca="false">IF(D770&lt;&gt;"",D770,IF(D739&gt;=0,11,""))</f>
        <v/>
      </c>
      <c r="E771" s="33" t="str">
        <f aca="false">IF(E770&lt;&gt;"",E770,IF(E739&gt;=0,11,""))</f>
        <v/>
      </c>
      <c r="F771" s="33" t="str">
        <f aca="false">IF(F770&lt;&gt;"",F770,IF(F739&gt;=0,11,""))</f>
        <v/>
      </c>
      <c r="G771" s="33" t="str">
        <f aca="false">IF(G770&lt;&gt;"",G770,IF(G739&gt;=0,11,""))</f>
        <v/>
      </c>
      <c r="H771" s="33" t="n">
        <f aca="false">IF(H770&lt;&gt;"",H770,IF(H739&gt;=0,11,""))</f>
        <v>11</v>
      </c>
    </row>
    <row r="772" customFormat="false" ht="15" hidden="true" customHeight="true" outlineLevel="0" collapsed="false">
      <c r="B772" s="33" t="str">
        <f aca="false">IF(B771&lt;&gt;"",B771,IF(B740&gt;=0,12,""))</f>
        <v/>
      </c>
      <c r="C772" s="33" t="str">
        <f aca="false">IF(C771&lt;&gt;"",C771,IF(C740&gt;=0,12,""))</f>
        <v/>
      </c>
      <c r="D772" s="33" t="str">
        <f aca="false">IF(D771&lt;&gt;"",D771,IF(D740&gt;=0,12,""))</f>
        <v/>
      </c>
      <c r="E772" s="33" t="str">
        <f aca="false">IF(E771&lt;&gt;"",E771,IF(E740&gt;=0,12,""))</f>
        <v/>
      </c>
      <c r="F772" s="33" t="str">
        <f aca="false">IF(F771&lt;&gt;"",F771,IF(F740&gt;=0,12,""))</f>
        <v/>
      </c>
      <c r="G772" s="33" t="str">
        <f aca="false">IF(G771&lt;&gt;"",G771,IF(G740&gt;=0,12,""))</f>
        <v/>
      </c>
      <c r="H772" s="33" t="n">
        <f aca="false">IF(H771&lt;&gt;"",H771,IF(H740&gt;=0,12,""))</f>
        <v>11</v>
      </c>
    </row>
    <row r="773" customFormat="false" ht="15" hidden="true" customHeight="true" outlineLevel="0" collapsed="false">
      <c r="B773" s="33" t="str">
        <f aca="false">IF(B772&lt;&gt;"",B772,IF(B741&gt;=0,13,""))</f>
        <v/>
      </c>
      <c r="C773" s="33" t="str">
        <f aca="false">IF(C772&lt;&gt;"",C772,IF(C741&gt;=0,13,""))</f>
        <v/>
      </c>
      <c r="D773" s="33" t="str">
        <f aca="false">IF(D772&lt;&gt;"",D772,IF(D741&gt;=0,13,""))</f>
        <v/>
      </c>
      <c r="E773" s="33" t="str">
        <f aca="false">IF(E772&lt;&gt;"",E772,IF(E741&gt;=0,13,""))</f>
        <v/>
      </c>
      <c r="F773" s="33" t="str">
        <f aca="false">IF(F772&lt;&gt;"",F772,IF(F741&gt;=0,13,""))</f>
        <v/>
      </c>
      <c r="G773" s="33" t="n">
        <f aca="false">IF(G772&lt;&gt;"",G772,IF(G741&gt;=0,13,""))</f>
        <v>13</v>
      </c>
      <c r="H773" s="33" t="n">
        <f aca="false">IF(H772&lt;&gt;"",H772,IF(H741&gt;=0,13,""))</f>
        <v>11</v>
      </c>
    </row>
    <row r="774" customFormat="false" ht="15" hidden="true" customHeight="true" outlineLevel="0" collapsed="false">
      <c r="B774" s="33" t="str">
        <f aca="false">IF(B773&lt;&gt;"",B773,IF(B742&gt;=0,14,""))</f>
        <v/>
      </c>
      <c r="C774" s="33" t="str">
        <f aca="false">IF(C773&lt;&gt;"",C773,IF(C742&gt;=0,14,""))</f>
        <v/>
      </c>
      <c r="D774" s="33" t="str">
        <f aca="false">IF(D773&lt;&gt;"",D773,IF(D742&gt;=0,14,""))</f>
        <v/>
      </c>
      <c r="E774" s="33" t="str">
        <f aca="false">IF(E773&lt;&gt;"",E773,IF(E742&gt;=0,14,""))</f>
        <v/>
      </c>
      <c r="F774" s="33" t="str">
        <f aca="false">IF(F773&lt;&gt;"",F773,IF(F742&gt;=0,14,""))</f>
        <v/>
      </c>
      <c r="G774" s="33" t="n">
        <f aca="false">IF(G773&lt;&gt;"",G773,IF(G742&gt;=0,14,""))</f>
        <v>13</v>
      </c>
      <c r="H774" s="33" t="n">
        <f aca="false">IF(H773&lt;&gt;"",H773,IF(H742&gt;=0,14,""))</f>
        <v>11</v>
      </c>
    </row>
    <row r="775" customFormat="false" ht="15" hidden="true" customHeight="true" outlineLevel="0" collapsed="false">
      <c r="B775" s="33" t="str">
        <f aca="false">IF(B774&lt;&gt;"",B774,IF(B743&gt;=0,15,""))</f>
        <v/>
      </c>
      <c r="C775" s="33" t="str">
        <f aca="false">IF(C774&lt;&gt;"",C774,IF(C743&gt;=0,15,""))</f>
        <v/>
      </c>
      <c r="D775" s="33" t="str">
        <f aca="false">IF(D774&lt;&gt;"",D774,IF(D743&gt;=0,15,""))</f>
        <v/>
      </c>
      <c r="E775" s="33" t="str">
        <f aca="false">IF(E774&lt;&gt;"",E774,IF(E743&gt;=0,15,""))</f>
        <v/>
      </c>
      <c r="F775" s="33" t="str">
        <f aca="false">IF(F774&lt;&gt;"",F774,IF(F743&gt;=0,15,""))</f>
        <v/>
      </c>
      <c r="G775" s="33" t="n">
        <f aca="false">IF(G774&lt;&gt;"",G774,IF(G743&gt;=0,15,""))</f>
        <v>13</v>
      </c>
      <c r="H775" s="33" t="n">
        <f aca="false">IF(H774&lt;&gt;"",H774,IF(H743&gt;=0,15,""))</f>
        <v>11</v>
      </c>
    </row>
    <row r="776" customFormat="false" ht="15" hidden="true" customHeight="true" outlineLevel="0" collapsed="false">
      <c r="B776" s="33" t="str">
        <f aca="false">IF(B775&lt;&gt;"",B775,IF(B744&gt;=0,16,""))</f>
        <v/>
      </c>
      <c r="C776" s="33" t="str">
        <f aca="false">IF(C775&lt;&gt;"",C775,IF(C744&gt;=0,16,""))</f>
        <v/>
      </c>
      <c r="D776" s="33" t="str">
        <f aca="false">IF(D775&lt;&gt;"",D775,IF(D744&gt;=0,16,""))</f>
        <v/>
      </c>
      <c r="E776" s="33" t="str">
        <f aca="false">IF(E775&lt;&gt;"",E775,IF(E744&gt;=0,16,""))</f>
        <v/>
      </c>
      <c r="F776" s="33" t="n">
        <f aca="false">IF(F775&lt;&gt;"",F775,IF(F744&gt;=0,16,""))</f>
        <v>16</v>
      </c>
      <c r="G776" s="33" t="n">
        <f aca="false">IF(G775&lt;&gt;"",G775,IF(G744&gt;=0,16,""))</f>
        <v>13</v>
      </c>
      <c r="H776" s="33" t="n">
        <f aca="false">IF(H775&lt;&gt;"",H775,IF(H744&gt;=0,16,""))</f>
        <v>11</v>
      </c>
    </row>
    <row r="777" customFormat="false" ht="15" hidden="true" customHeight="true" outlineLevel="0" collapsed="false">
      <c r="B777" s="33" t="str">
        <f aca="false">IF(B776&lt;&gt;"",B776,IF(B745&gt;=0,17,""))</f>
        <v/>
      </c>
      <c r="C777" s="33" t="str">
        <f aca="false">IF(C776&lt;&gt;"",C776,IF(C745&gt;=0,17,""))</f>
        <v/>
      </c>
      <c r="D777" s="33" t="str">
        <f aca="false">IF(D776&lt;&gt;"",D776,IF(D745&gt;=0,17,""))</f>
        <v/>
      </c>
      <c r="E777" s="33" t="str">
        <f aca="false">IF(E776&lt;&gt;"",E776,IF(E745&gt;=0,17,""))</f>
        <v/>
      </c>
      <c r="F777" s="33" t="n">
        <f aca="false">IF(F776&lt;&gt;"",F776,IF(F745&gt;=0,17,""))</f>
        <v>16</v>
      </c>
      <c r="G777" s="33" t="n">
        <f aca="false">IF(G776&lt;&gt;"",G776,IF(G745&gt;=0,17,""))</f>
        <v>13</v>
      </c>
      <c r="H777" s="33" t="n">
        <f aca="false">IF(H776&lt;&gt;"",H776,IF(H745&gt;=0,17,""))</f>
        <v>11</v>
      </c>
    </row>
    <row r="778" customFormat="false" ht="15" hidden="true" customHeight="true" outlineLevel="0" collapsed="false">
      <c r="B778" s="33" t="str">
        <f aca="false">IF(B777&lt;&gt;"",B777,IF(B746&gt;=0,18,""))</f>
        <v/>
      </c>
      <c r="C778" s="33" t="str">
        <f aca="false">IF(C777&lt;&gt;"",C777,IF(C746&gt;=0,18,""))</f>
        <v/>
      </c>
      <c r="D778" s="33" t="str">
        <f aca="false">IF(D777&lt;&gt;"",D777,IF(D746&gt;=0,18,""))</f>
        <v/>
      </c>
      <c r="E778" s="33" t="str">
        <f aca="false">IF(E777&lt;&gt;"",E777,IF(E746&gt;=0,18,""))</f>
        <v/>
      </c>
      <c r="F778" s="33" t="n">
        <f aca="false">IF(F777&lt;&gt;"",F777,IF(F746&gt;=0,18,""))</f>
        <v>16</v>
      </c>
      <c r="G778" s="33" t="n">
        <f aca="false">IF(G777&lt;&gt;"",G777,IF(G746&gt;=0,18,""))</f>
        <v>13</v>
      </c>
      <c r="H778" s="33" t="n">
        <f aca="false">IF(H777&lt;&gt;"",H777,IF(H746&gt;=0,18,""))</f>
        <v>11</v>
      </c>
    </row>
    <row r="779" customFormat="false" ht="15" hidden="true" customHeight="true" outlineLevel="0" collapsed="false">
      <c r="B779" s="33" t="str">
        <f aca="false">IF(B778&lt;&gt;"",B778,IF(B747&gt;=0,19,""))</f>
        <v/>
      </c>
      <c r="C779" s="33" t="str">
        <f aca="false">IF(C778&lt;&gt;"",C778,IF(C747&gt;=0,19,""))</f>
        <v/>
      </c>
      <c r="D779" s="33" t="str">
        <f aca="false">IF(D778&lt;&gt;"",D778,IF(D747&gt;=0,19,""))</f>
        <v/>
      </c>
      <c r="E779" s="33" t="str">
        <f aca="false">IF(E778&lt;&gt;"",E778,IF(E747&gt;=0,19,""))</f>
        <v/>
      </c>
      <c r="F779" s="33" t="n">
        <f aca="false">IF(F778&lt;&gt;"",F778,IF(F747&gt;=0,19,""))</f>
        <v>16</v>
      </c>
      <c r="G779" s="33" t="n">
        <f aca="false">IF(G778&lt;&gt;"",G778,IF(G747&gt;=0,19,""))</f>
        <v>13</v>
      </c>
      <c r="H779" s="33" t="n">
        <f aca="false">IF(H778&lt;&gt;"",H778,IF(H747&gt;=0,19,""))</f>
        <v>11</v>
      </c>
    </row>
    <row r="780" customFormat="false" ht="15" hidden="true" customHeight="true" outlineLevel="0" collapsed="false">
      <c r="B780" s="33" t="str">
        <f aca="false">IF(B779&lt;&gt;"",B779,IF(B748&gt;=0,20,""))</f>
        <v/>
      </c>
      <c r="C780" s="33" t="str">
        <f aca="false">IF(C779&lt;&gt;"",C779,IF(C748&gt;=0,20,""))</f>
        <v/>
      </c>
      <c r="D780" s="33" t="str">
        <f aca="false">IF(D779&lt;&gt;"",D779,IF(D748&gt;=0,20,""))</f>
        <v/>
      </c>
      <c r="E780" s="33" t="str">
        <f aca="false">IF(E779&lt;&gt;"",E779,IF(E748&gt;=0,20,""))</f>
        <v/>
      </c>
      <c r="F780" s="33" t="n">
        <f aca="false">IF(F779&lt;&gt;"",F779,IF(F748&gt;=0,20,""))</f>
        <v>16</v>
      </c>
      <c r="G780" s="33" t="n">
        <f aca="false">IF(G779&lt;&gt;"",G779,IF(G748&gt;=0,20,""))</f>
        <v>13</v>
      </c>
      <c r="H780" s="33" t="n">
        <f aca="false">IF(H779&lt;&gt;"",H779,IF(H748&gt;=0,20,""))</f>
        <v>11</v>
      </c>
    </row>
    <row r="781" customFormat="false" ht="15" hidden="true" customHeight="true" outlineLevel="0" collapsed="false">
      <c r="B781" s="33" t="str">
        <f aca="false">IF(B780&lt;&gt;"",B780,IF(B749&gt;=0,21,""))</f>
        <v/>
      </c>
      <c r="C781" s="33" t="str">
        <f aca="false">IF(C780&lt;&gt;"",C780,IF(C749&gt;=0,21,""))</f>
        <v/>
      </c>
      <c r="D781" s="33" t="str">
        <f aca="false">IF(D780&lt;&gt;"",D780,IF(D749&gt;=0,21,""))</f>
        <v/>
      </c>
      <c r="E781" s="33" t="str">
        <f aca="false">IF(E780&lt;&gt;"",E780,IF(E749&gt;=0,21,""))</f>
        <v/>
      </c>
      <c r="F781" s="33" t="n">
        <f aca="false">IF(F780&lt;&gt;"",F780,IF(F749&gt;=0,21,""))</f>
        <v>16</v>
      </c>
      <c r="G781" s="33" t="n">
        <f aca="false">IF(G780&lt;&gt;"",G780,IF(G749&gt;=0,21,""))</f>
        <v>13</v>
      </c>
      <c r="H781" s="33" t="n">
        <f aca="false">IF(H780&lt;&gt;"",H780,IF(H749&gt;=0,21,""))</f>
        <v>11</v>
      </c>
    </row>
    <row r="782" customFormat="false" ht="15" hidden="true" customHeight="true" outlineLevel="0" collapsed="false">
      <c r="B782" s="33" t="str">
        <f aca="false">IF(B781&lt;&gt;"",B781,IF(B750&gt;=0,22,""))</f>
        <v/>
      </c>
      <c r="C782" s="33" t="str">
        <f aca="false">IF(C781&lt;&gt;"",C781,IF(C750&gt;=0,22,""))</f>
        <v/>
      </c>
      <c r="D782" s="33" t="str">
        <f aca="false">IF(D781&lt;&gt;"",D781,IF(D750&gt;=0,22,""))</f>
        <v/>
      </c>
      <c r="E782" s="33" t="str">
        <f aca="false">IF(E781&lt;&gt;"",E781,IF(E750&gt;=0,22,""))</f>
        <v/>
      </c>
      <c r="F782" s="33" t="n">
        <f aca="false">IF(F781&lt;&gt;"",F781,IF(F750&gt;=0,22,""))</f>
        <v>16</v>
      </c>
      <c r="G782" s="33" t="n">
        <f aca="false">IF(G781&lt;&gt;"",G781,IF(G750&gt;=0,22,""))</f>
        <v>13</v>
      </c>
      <c r="H782" s="33" t="n">
        <f aca="false">IF(H781&lt;&gt;"",H781,IF(H750&gt;=0,22,""))</f>
        <v>11</v>
      </c>
    </row>
    <row r="783" customFormat="false" ht="15" hidden="true" customHeight="true" outlineLevel="0" collapsed="false">
      <c r="B783" s="33" t="str">
        <f aca="false">IF(B782&lt;&gt;"",B782,IF(B751&gt;=0,23,""))</f>
        <v/>
      </c>
      <c r="C783" s="33" t="str">
        <f aca="false">IF(C782&lt;&gt;"",C782,IF(C751&gt;=0,23,""))</f>
        <v/>
      </c>
      <c r="D783" s="33" t="str">
        <f aca="false">IF(D782&lt;&gt;"",D782,IF(D751&gt;=0,23,""))</f>
        <v/>
      </c>
      <c r="E783" s="33" t="str">
        <f aca="false">IF(E782&lt;&gt;"",E782,IF(E751&gt;=0,23,""))</f>
        <v/>
      </c>
      <c r="F783" s="33" t="n">
        <f aca="false">IF(F782&lt;&gt;"",F782,IF(F751&gt;=0,23,""))</f>
        <v>16</v>
      </c>
      <c r="G783" s="33" t="n">
        <f aca="false">IF(G782&lt;&gt;"",G782,IF(G751&gt;=0,23,""))</f>
        <v>13</v>
      </c>
      <c r="H783" s="33" t="n">
        <f aca="false">IF(H782&lt;&gt;"",H782,IF(H751&gt;=0,23,""))</f>
        <v>11</v>
      </c>
    </row>
    <row r="784" customFormat="false" ht="15" hidden="true" customHeight="true" outlineLevel="0" collapsed="false">
      <c r="B784" s="33" t="str">
        <f aca="false">IF(B783&lt;&gt;"",B783,IF(B752&gt;=0,24,""))</f>
        <v/>
      </c>
      <c r="C784" s="33" t="str">
        <f aca="false">IF(C783&lt;&gt;"",C783,IF(C752&gt;=0,24,""))</f>
        <v/>
      </c>
      <c r="D784" s="33" t="str">
        <f aca="false">IF(D783&lt;&gt;"",D783,IF(D752&gt;=0,24,""))</f>
        <v/>
      </c>
      <c r="E784" s="33" t="str">
        <f aca="false">IF(E783&lt;&gt;"",E783,IF(E752&gt;=0,24,""))</f>
        <v/>
      </c>
      <c r="F784" s="33" t="n">
        <f aca="false">IF(F783&lt;&gt;"",F783,IF(F752&gt;=0,24,""))</f>
        <v>16</v>
      </c>
      <c r="G784" s="33" t="n">
        <f aca="false">IF(G783&lt;&gt;"",G783,IF(G752&gt;=0,24,""))</f>
        <v>13</v>
      </c>
      <c r="H784" s="33" t="n">
        <f aca="false">IF(H783&lt;&gt;"",H783,IF(H752&gt;=0,24,""))</f>
        <v>11</v>
      </c>
    </row>
    <row r="785" customFormat="false" ht="15" hidden="true" customHeight="true" outlineLevel="0" collapsed="false">
      <c r="B785" s="33" t="str">
        <f aca="false">IF(B784&lt;&gt;"",B784,IF(B753&gt;=0,25,""))</f>
        <v/>
      </c>
      <c r="C785" s="33" t="str">
        <f aca="false">IF(C784&lt;&gt;"",C784,IF(C753&gt;=0,25,""))</f>
        <v/>
      </c>
      <c r="D785" s="33" t="str">
        <f aca="false">IF(D784&lt;&gt;"",D784,IF(D753&gt;=0,25,""))</f>
        <v/>
      </c>
      <c r="E785" s="33" t="str">
        <f aca="false">IF(E784&lt;&gt;"",E784,IF(E753&gt;=0,25,""))</f>
        <v/>
      </c>
      <c r="F785" s="33" t="n">
        <f aca="false">IF(F784&lt;&gt;"",F784,IF(F753&gt;=0,25,""))</f>
        <v>16</v>
      </c>
      <c r="G785" s="33" t="n">
        <f aca="false">IF(G784&lt;&gt;"",G784,IF(G753&gt;=0,25,""))</f>
        <v>13</v>
      </c>
      <c r="H785" s="33" t="n">
        <f aca="false">IF(H784&lt;&gt;"",H784,IF(H753&gt;=0,25,""))</f>
        <v>11</v>
      </c>
    </row>
    <row r="786" customFormat="false" ht="15" hidden="true" customHeight="true" outlineLevel="0" collapsed="false">
      <c r="B786" s="33" t="str">
        <f aca="false">IF(B785&lt;&gt;"",B785,IF(B754&gt;=0,26,""))</f>
        <v/>
      </c>
      <c r="C786" s="33" t="str">
        <f aca="false">IF(C785&lt;&gt;"",C785,IF(C754&gt;=0,26,""))</f>
        <v/>
      </c>
      <c r="D786" s="33" t="str">
        <f aca="false">IF(D785&lt;&gt;"",D785,IF(D754&gt;=0,26,""))</f>
        <v/>
      </c>
      <c r="E786" s="33" t="str">
        <f aca="false">IF(E785&lt;&gt;"",E785,IF(E754&gt;=0,26,""))</f>
        <v/>
      </c>
      <c r="F786" s="33" t="n">
        <f aca="false">IF(F785&lt;&gt;"",F785,IF(F754&gt;=0,26,""))</f>
        <v>16</v>
      </c>
      <c r="G786" s="33" t="n">
        <f aca="false">IF(G785&lt;&gt;"",G785,IF(G754&gt;=0,26,""))</f>
        <v>13</v>
      </c>
      <c r="H786" s="33" t="n">
        <f aca="false">IF(H785&lt;&gt;"",H785,IF(H754&gt;=0,26,""))</f>
        <v>11</v>
      </c>
    </row>
    <row r="787" customFormat="false" ht="15" hidden="true" customHeight="true" outlineLevel="0" collapsed="false">
      <c r="B787" s="33" t="str">
        <f aca="false">IF(B786&lt;&gt;"",B786,IF(B755&gt;=0,27,""))</f>
        <v/>
      </c>
      <c r="C787" s="33" t="str">
        <f aca="false">IF(C786&lt;&gt;"",C786,IF(C755&gt;=0,27,""))</f>
        <v/>
      </c>
      <c r="D787" s="33" t="str">
        <f aca="false">IF(D786&lt;&gt;"",D786,IF(D755&gt;=0,27,""))</f>
        <v/>
      </c>
      <c r="E787" s="33" t="str">
        <f aca="false">IF(E786&lt;&gt;"",E786,IF(E755&gt;=0,27,""))</f>
        <v/>
      </c>
      <c r="F787" s="33" t="n">
        <f aca="false">IF(F786&lt;&gt;"",F786,IF(F755&gt;=0,27,""))</f>
        <v>16</v>
      </c>
      <c r="G787" s="33" t="n">
        <f aca="false">IF(G786&lt;&gt;"",G786,IF(G755&gt;=0,27,""))</f>
        <v>13</v>
      </c>
      <c r="H787" s="33" t="n">
        <f aca="false">IF(H786&lt;&gt;"",H786,IF(H755&gt;=0,27,""))</f>
        <v>11</v>
      </c>
    </row>
    <row r="788" customFormat="false" ht="15" hidden="true" customHeight="true" outlineLevel="0" collapsed="false">
      <c r="B788" s="33" t="str">
        <f aca="false">IF(B787&lt;&gt;"",B787,IF(B756&gt;=0,28,""))</f>
        <v/>
      </c>
      <c r="C788" s="33" t="str">
        <f aca="false">IF(C787&lt;&gt;"",C787,IF(C756&gt;=0,28,""))</f>
        <v/>
      </c>
      <c r="D788" s="33" t="str">
        <f aca="false">IF(D787&lt;&gt;"",D787,IF(D756&gt;=0,28,""))</f>
        <v/>
      </c>
      <c r="E788" s="33" t="str">
        <f aca="false">IF(E787&lt;&gt;"",E787,IF(E756&gt;=0,28,""))</f>
        <v/>
      </c>
      <c r="F788" s="33" t="n">
        <f aca="false">IF(F787&lt;&gt;"",F787,IF(F756&gt;=0,28,""))</f>
        <v>16</v>
      </c>
      <c r="G788" s="33" t="n">
        <f aca="false">IF(G787&lt;&gt;"",G787,IF(G756&gt;=0,28,""))</f>
        <v>13</v>
      </c>
      <c r="H788" s="33" t="n">
        <f aca="false">IF(H787&lt;&gt;"",H787,IF(H756&gt;=0,28,""))</f>
        <v>11</v>
      </c>
    </row>
    <row r="789" customFormat="false" ht="15" hidden="true" customHeight="true" outlineLevel="0" collapsed="false">
      <c r="B789" s="33" t="str">
        <f aca="false">IF(B788&lt;&gt;"",B788,IF(B757&gt;=0,29,""))</f>
        <v/>
      </c>
      <c r="C789" s="33" t="str">
        <f aca="false">IF(C788&lt;&gt;"",C788,IF(C757&gt;=0,29,""))</f>
        <v/>
      </c>
      <c r="D789" s="33" t="str">
        <f aca="false">IF(D788&lt;&gt;"",D788,IF(D757&gt;=0,29,""))</f>
        <v/>
      </c>
      <c r="E789" s="33" t="str">
        <f aca="false">IF(E788&lt;&gt;"",E788,IF(E757&gt;=0,29,""))</f>
        <v/>
      </c>
      <c r="F789" s="33" t="n">
        <f aca="false">IF(F788&lt;&gt;"",F788,IF(F757&gt;=0,29,""))</f>
        <v>16</v>
      </c>
      <c r="G789" s="33" t="n">
        <f aca="false">IF(G788&lt;&gt;"",G788,IF(G757&gt;=0,29,""))</f>
        <v>13</v>
      </c>
      <c r="H789" s="33" t="n">
        <f aca="false">IF(H788&lt;&gt;"",H788,IF(H757&gt;=0,29,""))</f>
        <v>11</v>
      </c>
    </row>
    <row r="790" customFormat="false" ht="15" hidden="true" customHeight="true" outlineLevel="0" collapsed="false">
      <c r="B790" s="33" t="str">
        <f aca="false">IF(B789&lt;&gt;"",B789,IF(B758&gt;=0,30,""))</f>
        <v/>
      </c>
      <c r="C790" s="33" t="str">
        <f aca="false">IF(C789&lt;&gt;"",C789,IF(C758&gt;=0,30,""))</f>
        <v/>
      </c>
      <c r="D790" s="33" t="str">
        <f aca="false">IF(D789&lt;&gt;"",D789,IF(D758&gt;=0,30,""))</f>
        <v/>
      </c>
      <c r="E790" s="33" t="n">
        <f aca="false">IF(E789&lt;&gt;"",E789,IF(E758&gt;=0,30,""))</f>
        <v>30</v>
      </c>
      <c r="F790" s="33" t="n">
        <f aca="false">IF(F789&lt;&gt;"",F789,IF(F758&gt;=0,30,""))</f>
        <v>16</v>
      </c>
      <c r="G790" s="33" t="n">
        <f aca="false">IF(G789&lt;&gt;"",G789,IF(G758&gt;=0,30,""))</f>
        <v>13</v>
      </c>
      <c r="H790" s="33" t="n">
        <f aca="false">IF(H789&lt;&gt;"",H789,IF(H758&gt;=0,30,""))</f>
        <v>11</v>
      </c>
    </row>
    <row r="791" customFormat="false" ht="15" hidden="true" customHeight="true" outlineLevel="0" collapsed="false"/>
    <row r="793" customFormat="false" ht="15" hidden="false" customHeight="true" outlineLevel="0" collapsed="false">
      <c r="A793" s="10" t="s">
        <v>101</v>
      </c>
      <c r="B793" s="11"/>
      <c r="C793" s="11"/>
      <c r="D793" s="11"/>
      <c r="E793" s="11"/>
      <c r="F793" s="11"/>
      <c r="G793" s="11"/>
    </row>
    <row r="794" customFormat="false" ht="15" hidden="false" customHeight="true" outlineLevel="0" collapsed="false">
      <c r="A794" s="22" t="s">
        <v>87</v>
      </c>
      <c r="B794" s="15" t="n">
        <v>0.03</v>
      </c>
      <c r="C794" s="15" t="n">
        <v>0.04</v>
      </c>
      <c r="D794" s="15" t="n">
        <v>0.05</v>
      </c>
      <c r="E794" s="15" t="n">
        <v>0.06</v>
      </c>
      <c r="F794" s="15" t="n">
        <v>0.07</v>
      </c>
      <c r="G794" s="15" t="n">
        <v>0.08</v>
      </c>
    </row>
    <row r="795" customFormat="false" ht="15" hidden="false" customHeight="true" outlineLevel="0" collapsed="false">
      <c r="A795" s="22" t="s">
        <v>88</v>
      </c>
      <c r="B795" s="31" t="n">
        <f aca="false">IF(B1053="","Never",B1053)</f>
        <v>10</v>
      </c>
      <c r="C795" s="31" t="n">
        <f aca="false">IF(C1053="","Never",C1053)</f>
        <v>12</v>
      </c>
      <c r="D795" s="31" t="n">
        <f aca="false">IF(D1053="","Never",D1053)</f>
        <v>17</v>
      </c>
      <c r="E795" s="31" t="n">
        <f aca="false">IF(E1053="","Never",E1053)</f>
        <v>30</v>
      </c>
      <c r="F795" s="31" t="str">
        <f aca="false">IF(F1053="","Never",F1053)</f>
        <v>Never</v>
      </c>
      <c r="G795" s="31" t="str">
        <f aca="false">IF(G1053="","Never",G1053)</f>
        <v>Never</v>
      </c>
    </row>
    <row r="796" customFormat="false" ht="15" hidden="false" customHeight="true" outlineLevel="0" collapsed="false">
      <c r="A796" s="22" t="s">
        <v>60</v>
      </c>
      <c r="B796" s="24" t="n">
        <f aca="false">INDEX(B991:B1021,Inputs!$B$24+1)</f>
        <v>-17531.8120441886</v>
      </c>
      <c r="C796" s="24" t="n">
        <f aca="false">INDEX(C991:C1021,Inputs!$B$24+1)</f>
        <v>-28587.8737361923</v>
      </c>
      <c r="D796" s="24" t="n">
        <f aca="false">INDEX(D991:D1021,Inputs!$B$24+1)</f>
        <v>-40236.5845563217</v>
      </c>
      <c r="E796" s="24" t="n">
        <f aca="false">INDEX(E991:E1021,Inputs!$B$24+1)</f>
        <v>-52505.3241227269</v>
      </c>
      <c r="F796" s="24" t="n">
        <f aca="false">INDEX(F991:F1021,Inputs!$B$24+1)</f>
        <v>-65422.4948408905</v>
      </c>
      <c r="G796" s="24" t="n">
        <f aca="false">INDEX(G991:G1021,Inputs!$B$24+1)</f>
        <v>-79017.550607581</v>
      </c>
    </row>
    <row r="797" customFormat="false" ht="15" hidden="false" customHeight="true" outlineLevel="0" collapsed="false">
      <c r="A797" s="16" t="s">
        <v>89</v>
      </c>
      <c r="B797" s="32" t="str">
        <f aca="false">IF(ROUND(B794,4)=ROUND(Inputs!$B$23,4),"&lt;- your input","")</f>
        <v/>
      </c>
      <c r="C797" s="32" t="str">
        <f aca="false">IF(ROUND(C794,4)=ROUND(Inputs!$B$23,4),"&lt;- your input","")</f>
        <v/>
      </c>
      <c r="D797" s="32" t="str">
        <f aca="false">IF(ROUND(D794,4)=ROUND(Inputs!$B$23,4),"&lt;- your input","")</f>
        <v/>
      </c>
      <c r="E797" s="32" t="str">
        <f aca="false">IF(ROUND(E794,4)=ROUND(Inputs!$B$23,4),"&lt;- your input","")</f>
        <v>&lt;- your input</v>
      </c>
      <c r="F797" s="32" t="str">
        <f aca="false">IF(ROUND(F794,4)=ROUND(Inputs!$B$23,4),"&lt;- your input","")</f>
        <v/>
      </c>
      <c r="G797" s="32" t="str">
        <f aca="false">IF(ROUND(G794,4)=ROUND(Inputs!$B$23,4),"&lt;- your input","")</f>
        <v/>
      </c>
    </row>
    <row r="798" customFormat="false" ht="15" hidden="true" customHeight="true" outlineLevel="0" collapsed="false">
      <c r="A798" s="16" t="s">
        <v>90</v>
      </c>
    </row>
    <row r="799" customFormat="false" ht="15" hidden="true" customHeight="true" outlineLevel="0" collapsed="false">
      <c r="A799" s="33" t="s">
        <v>91</v>
      </c>
      <c r="B799" s="34" t="n">
        <f aca="false">Inputs!$B$4</f>
        <v>429100</v>
      </c>
      <c r="C799" s="34" t="n">
        <f aca="false">Inputs!$B$4</f>
        <v>429100</v>
      </c>
      <c r="D799" s="34" t="n">
        <f aca="false">Inputs!$B$4</f>
        <v>429100</v>
      </c>
      <c r="E799" s="34" t="n">
        <f aca="false">Inputs!$B$4</f>
        <v>429100</v>
      </c>
      <c r="F799" s="34" t="n">
        <f aca="false">Inputs!$B$4</f>
        <v>429100</v>
      </c>
      <c r="G799" s="34" t="n">
        <f aca="false">Inputs!$B$4</f>
        <v>429100</v>
      </c>
    </row>
    <row r="800" customFormat="false" ht="15" hidden="true" customHeight="true" outlineLevel="0" collapsed="false">
      <c r="B800" s="34" t="n">
        <f aca="false">B799*(1+Inputs!$B$13)</f>
        <v>441973</v>
      </c>
      <c r="C800" s="34" t="n">
        <f aca="false">C799*(1+Inputs!$B$13)</f>
        <v>441973</v>
      </c>
      <c r="D800" s="34" t="n">
        <f aca="false">D799*(1+Inputs!$B$13)</f>
        <v>441973</v>
      </c>
      <c r="E800" s="34" t="n">
        <f aca="false">E799*(1+Inputs!$B$13)</f>
        <v>441973</v>
      </c>
      <c r="F800" s="34" t="n">
        <f aca="false">F799*(1+Inputs!$B$13)</f>
        <v>441973</v>
      </c>
      <c r="G800" s="34" t="n">
        <f aca="false">G799*(1+Inputs!$B$13)</f>
        <v>441973</v>
      </c>
    </row>
    <row r="801" customFormat="false" ht="15" hidden="true" customHeight="true" outlineLevel="0" collapsed="false">
      <c r="B801" s="34" t="n">
        <f aca="false">B800*(1+Inputs!$B$13)</f>
        <v>455232.19</v>
      </c>
      <c r="C801" s="34" t="n">
        <f aca="false">C800*(1+Inputs!$B$13)</f>
        <v>455232.19</v>
      </c>
      <c r="D801" s="34" t="n">
        <f aca="false">D800*(1+Inputs!$B$13)</f>
        <v>455232.19</v>
      </c>
      <c r="E801" s="34" t="n">
        <f aca="false">E800*(1+Inputs!$B$13)</f>
        <v>455232.19</v>
      </c>
      <c r="F801" s="34" t="n">
        <f aca="false">F800*(1+Inputs!$B$13)</f>
        <v>455232.19</v>
      </c>
      <c r="G801" s="34" t="n">
        <f aca="false">G800*(1+Inputs!$B$13)</f>
        <v>455232.19</v>
      </c>
    </row>
    <row r="802" customFormat="false" ht="15" hidden="true" customHeight="true" outlineLevel="0" collapsed="false">
      <c r="B802" s="34" t="n">
        <f aca="false">B801*(1+Inputs!$B$13)</f>
        <v>468889.1557</v>
      </c>
      <c r="C802" s="34" t="n">
        <f aca="false">C801*(1+Inputs!$B$13)</f>
        <v>468889.1557</v>
      </c>
      <c r="D802" s="34" t="n">
        <f aca="false">D801*(1+Inputs!$B$13)</f>
        <v>468889.1557</v>
      </c>
      <c r="E802" s="34" t="n">
        <f aca="false">E801*(1+Inputs!$B$13)</f>
        <v>468889.1557</v>
      </c>
      <c r="F802" s="34" t="n">
        <f aca="false">F801*(1+Inputs!$B$13)</f>
        <v>468889.1557</v>
      </c>
      <c r="G802" s="34" t="n">
        <f aca="false">G801*(1+Inputs!$B$13)</f>
        <v>468889.1557</v>
      </c>
    </row>
    <row r="803" customFormat="false" ht="15" hidden="true" customHeight="true" outlineLevel="0" collapsed="false">
      <c r="B803" s="34" t="n">
        <f aca="false">B802*(1+Inputs!$B$13)</f>
        <v>482955.830371</v>
      </c>
      <c r="C803" s="34" t="n">
        <f aca="false">C802*(1+Inputs!$B$13)</f>
        <v>482955.830371</v>
      </c>
      <c r="D803" s="34" t="n">
        <f aca="false">D802*(1+Inputs!$B$13)</f>
        <v>482955.830371</v>
      </c>
      <c r="E803" s="34" t="n">
        <f aca="false">E802*(1+Inputs!$B$13)</f>
        <v>482955.830371</v>
      </c>
      <c r="F803" s="34" t="n">
        <f aca="false">F802*(1+Inputs!$B$13)</f>
        <v>482955.830371</v>
      </c>
      <c r="G803" s="34" t="n">
        <f aca="false">G802*(1+Inputs!$B$13)</f>
        <v>482955.830371</v>
      </c>
    </row>
    <row r="804" customFormat="false" ht="15" hidden="true" customHeight="true" outlineLevel="0" collapsed="false">
      <c r="B804" s="34" t="n">
        <f aca="false">B803*(1+Inputs!$B$13)</f>
        <v>497444.50528213</v>
      </c>
      <c r="C804" s="34" t="n">
        <f aca="false">C803*(1+Inputs!$B$13)</f>
        <v>497444.50528213</v>
      </c>
      <c r="D804" s="34" t="n">
        <f aca="false">D803*(1+Inputs!$B$13)</f>
        <v>497444.50528213</v>
      </c>
      <c r="E804" s="34" t="n">
        <f aca="false">E803*(1+Inputs!$B$13)</f>
        <v>497444.50528213</v>
      </c>
      <c r="F804" s="34" t="n">
        <f aca="false">F803*(1+Inputs!$B$13)</f>
        <v>497444.50528213</v>
      </c>
      <c r="G804" s="34" t="n">
        <f aca="false">G803*(1+Inputs!$B$13)</f>
        <v>497444.50528213</v>
      </c>
    </row>
    <row r="805" customFormat="false" ht="15" hidden="true" customHeight="true" outlineLevel="0" collapsed="false">
      <c r="B805" s="34" t="n">
        <f aca="false">B804*(1+Inputs!$B$13)</f>
        <v>512367.840440594</v>
      </c>
      <c r="C805" s="34" t="n">
        <f aca="false">C804*(1+Inputs!$B$13)</f>
        <v>512367.840440594</v>
      </c>
      <c r="D805" s="34" t="n">
        <f aca="false">D804*(1+Inputs!$B$13)</f>
        <v>512367.840440594</v>
      </c>
      <c r="E805" s="34" t="n">
        <f aca="false">E804*(1+Inputs!$B$13)</f>
        <v>512367.840440594</v>
      </c>
      <c r="F805" s="34" t="n">
        <f aca="false">F804*(1+Inputs!$B$13)</f>
        <v>512367.840440594</v>
      </c>
      <c r="G805" s="34" t="n">
        <f aca="false">G804*(1+Inputs!$B$13)</f>
        <v>512367.840440594</v>
      </c>
    </row>
    <row r="806" customFormat="false" ht="15" hidden="true" customHeight="true" outlineLevel="0" collapsed="false">
      <c r="B806" s="34" t="n">
        <f aca="false">B805*(1+Inputs!$B$13)</f>
        <v>527738.875653812</v>
      </c>
      <c r="C806" s="34" t="n">
        <f aca="false">C805*(1+Inputs!$B$13)</f>
        <v>527738.875653812</v>
      </c>
      <c r="D806" s="34" t="n">
        <f aca="false">D805*(1+Inputs!$B$13)</f>
        <v>527738.875653812</v>
      </c>
      <c r="E806" s="34" t="n">
        <f aca="false">E805*(1+Inputs!$B$13)</f>
        <v>527738.875653812</v>
      </c>
      <c r="F806" s="34" t="n">
        <f aca="false">F805*(1+Inputs!$B$13)</f>
        <v>527738.875653812</v>
      </c>
      <c r="G806" s="34" t="n">
        <f aca="false">G805*(1+Inputs!$B$13)</f>
        <v>527738.875653812</v>
      </c>
    </row>
    <row r="807" customFormat="false" ht="15" hidden="true" customHeight="true" outlineLevel="0" collapsed="false">
      <c r="B807" s="34" t="n">
        <f aca="false">B806*(1+Inputs!$B$13)</f>
        <v>543571.041923426</v>
      </c>
      <c r="C807" s="34" t="n">
        <f aca="false">C806*(1+Inputs!$B$13)</f>
        <v>543571.041923426</v>
      </c>
      <c r="D807" s="34" t="n">
        <f aca="false">D806*(1+Inputs!$B$13)</f>
        <v>543571.041923426</v>
      </c>
      <c r="E807" s="34" t="n">
        <f aca="false">E806*(1+Inputs!$B$13)</f>
        <v>543571.041923426</v>
      </c>
      <c r="F807" s="34" t="n">
        <f aca="false">F806*(1+Inputs!$B$13)</f>
        <v>543571.041923426</v>
      </c>
      <c r="G807" s="34" t="n">
        <f aca="false">G806*(1+Inputs!$B$13)</f>
        <v>543571.041923426</v>
      </c>
    </row>
    <row r="808" customFormat="false" ht="15" hidden="true" customHeight="true" outlineLevel="0" collapsed="false">
      <c r="B808" s="34" t="n">
        <f aca="false">B807*(1+Inputs!$B$13)</f>
        <v>559878.173181129</v>
      </c>
      <c r="C808" s="34" t="n">
        <f aca="false">C807*(1+Inputs!$B$13)</f>
        <v>559878.173181129</v>
      </c>
      <c r="D808" s="34" t="n">
        <f aca="false">D807*(1+Inputs!$B$13)</f>
        <v>559878.173181129</v>
      </c>
      <c r="E808" s="34" t="n">
        <f aca="false">E807*(1+Inputs!$B$13)</f>
        <v>559878.173181129</v>
      </c>
      <c r="F808" s="34" t="n">
        <f aca="false">F807*(1+Inputs!$B$13)</f>
        <v>559878.173181129</v>
      </c>
      <c r="G808" s="34" t="n">
        <f aca="false">G807*(1+Inputs!$B$13)</f>
        <v>559878.173181129</v>
      </c>
    </row>
    <row r="809" customFormat="false" ht="15" hidden="true" customHeight="true" outlineLevel="0" collapsed="false">
      <c r="B809" s="34" t="n">
        <f aca="false">B808*(1+Inputs!$B$13)</f>
        <v>576674.518376563</v>
      </c>
      <c r="C809" s="34" t="n">
        <f aca="false">C808*(1+Inputs!$B$13)</f>
        <v>576674.518376563</v>
      </c>
      <c r="D809" s="34" t="n">
        <f aca="false">D808*(1+Inputs!$B$13)</f>
        <v>576674.518376563</v>
      </c>
      <c r="E809" s="34" t="n">
        <f aca="false">E808*(1+Inputs!$B$13)</f>
        <v>576674.518376563</v>
      </c>
      <c r="F809" s="34" t="n">
        <f aca="false">F808*(1+Inputs!$B$13)</f>
        <v>576674.518376563</v>
      </c>
      <c r="G809" s="34" t="n">
        <f aca="false">G808*(1+Inputs!$B$13)</f>
        <v>576674.518376563</v>
      </c>
    </row>
    <row r="810" customFormat="false" ht="15" hidden="true" customHeight="true" outlineLevel="0" collapsed="false">
      <c r="B810" s="34" t="n">
        <f aca="false">B809*(1+Inputs!$B$13)</f>
        <v>593974.75392786</v>
      </c>
      <c r="C810" s="34" t="n">
        <f aca="false">C809*(1+Inputs!$B$13)</f>
        <v>593974.75392786</v>
      </c>
      <c r="D810" s="34" t="n">
        <f aca="false">D809*(1+Inputs!$B$13)</f>
        <v>593974.75392786</v>
      </c>
      <c r="E810" s="34" t="n">
        <f aca="false">E809*(1+Inputs!$B$13)</f>
        <v>593974.75392786</v>
      </c>
      <c r="F810" s="34" t="n">
        <f aca="false">F809*(1+Inputs!$B$13)</f>
        <v>593974.75392786</v>
      </c>
      <c r="G810" s="34" t="n">
        <f aca="false">G809*(1+Inputs!$B$13)</f>
        <v>593974.75392786</v>
      </c>
    </row>
    <row r="811" customFormat="false" ht="15" hidden="true" customHeight="true" outlineLevel="0" collapsed="false">
      <c r="B811" s="34" t="n">
        <f aca="false">B810*(1+Inputs!$B$13)</f>
        <v>611793.996545696</v>
      </c>
      <c r="C811" s="34" t="n">
        <f aca="false">C810*(1+Inputs!$B$13)</f>
        <v>611793.996545696</v>
      </c>
      <c r="D811" s="34" t="n">
        <f aca="false">D810*(1+Inputs!$B$13)</f>
        <v>611793.996545696</v>
      </c>
      <c r="E811" s="34" t="n">
        <f aca="false">E810*(1+Inputs!$B$13)</f>
        <v>611793.996545696</v>
      </c>
      <c r="F811" s="34" t="n">
        <f aca="false">F810*(1+Inputs!$B$13)</f>
        <v>611793.996545696</v>
      </c>
      <c r="G811" s="34" t="n">
        <f aca="false">G810*(1+Inputs!$B$13)</f>
        <v>611793.996545696</v>
      </c>
    </row>
    <row r="812" customFormat="false" ht="15" hidden="true" customHeight="true" outlineLevel="0" collapsed="false">
      <c r="B812" s="34" t="n">
        <f aca="false">B811*(1+Inputs!$B$13)</f>
        <v>630147.816442066</v>
      </c>
      <c r="C812" s="34" t="n">
        <f aca="false">C811*(1+Inputs!$B$13)</f>
        <v>630147.816442066</v>
      </c>
      <c r="D812" s="34" t="n">
        <f aca="false">D811*(1+Inputs!$B$13)</f>
        <v>630147.816442066</v>
      </c>
      <c r="E812" s="34" t="n">
        <f aca="false">E811*(1+Inputs!$B$13)</f>
        <v>630147.816442066</v>
      </c>
      <c r="F812" s="34" t="n">
        <f aca="false">F811*(1+Inputs!$B$13)</f>
        <v>630147.816442066</v>
      </c>
      <c r="G812" s="34" t="n">
        <f aca="false">G811*(1+Inputs!$B$13)</f>
        <v>630147.816442066</v>
      </c>
    </row>
    <row r="813" customFormat="false" ht="15" hidden="true" customHeight="true" outlineLevel="0" collapsed="false">
      <c r="B813" s="34" t="n">
        <f aca="false">B812*(1+Inputs!$B$13)</f>
        <v>649052.250935328</v>
      </c>
      <c r="C813" s="34" t="n">
        <f aca="false">C812*(1+Inputs!$B$13)</f>
        <v>649052.250935328</v>
      </c>
      <c r="D813" s="34" t="n">
        <f aca="false">D812*(1+Inputs!$B$13)</f>
        <v>649052.250935328</v>
      </c>
      <c r="E813" s="34" t="n">
        <f aca="false">E812*(1+Inputs!$B$13)</f>
        <v>649052.250935328</v>
      </c>
      <c r="F813" s="34" t="n">
        <f aca="false">F812*(1+Inputs!$B$13)</f>
        <v>649052.250935328</v>
      </c>
      <c r="G813" s="34" t="n">
        <f aca="false">G812*(1+Inputs!$B$13)</f>
        <v>649052.250935328</v>
      </c>
    </row>
    <row r="814" customFormat="false" ht="15" hidden="true" customHeight="true" outlineLevel="0" collapsed="false">
      <c r="B814" s="34" t="n">
        <f aca="false">B813*(1+Inputs!$B$13)</f>
        <v>668523.818463388</v>
      </c>
      <c r="C814" s="34" t="n">
        <f aca="false">C813*(1+Inputs!$B$13)</f>
        <v>668523.818463388</v>
      </c>
      <c r="D814" s="34" t="n">
        <f aca="false">D813*(1+Inputs!$B$13)</f>
        <v>668523.818463388</v>
      </c>
      <c r="E814" s="34" t="n">
        <f aca="false">E813*(1+Inputs!$B$13)</f>
        <v>668523.818463388</v>
      </c>
      <c r="F814" s="34" t="n">
        <f aca="false">F813*(1+Inputs!$B$13)</f>
        <v>668523.818463388</v>
      </c>
      <c r="G814" s="34" t="n">
        <f aca="false">G813*(1+Inputs!$B$13)</f>
        <v>668523.818463388</v>
      </c>
    </row>
    <row r="815" customFormat="false" ht="15" hidden="true" customHeight="true" outlineLevel="0" collapsed="false">
      <c r="B815" s="34" t="n">
        <f aca="false">B814*(1+Inputs!$B$13)</f>
        <v>688579.53301729</v>
      </c>
      <c r="C815" s="34" t="n">
        <f aca="false">C814*(1+Inputs!$B$13)</f>
        <v>688579.53301729</v>
      </c>
      <c r="D815" s="34" t="n">
        <f aca="false">D814*(1+Inputs!$B$13)</f>
        <v>688579.53301729</v>
      </c>
      <c r="E815" s="34" t="n">
        <f aca="false">E814*(1+Inputs!$B$13)</f>
        <v>688579.53301729</v>
      </c>
      <c r="F815" s="34" t="n">
        <f aca="false">F814*(1+Inputs!$B$13)</f>
        <v>688579.53301729</v>
      </c>
      <c r="G815" s="34" t="n">
        <f aca="false">G814*(1+Inputs!$B$13)</f>
        <v>688579.53301729</v>
      </c>
    </row>
    <row r="816" customFormat="false" ht="15" hidden="true" customHeight="true" outlineLevel="0" collapsed="false">
      <c r="B816" s="34" t="n">
        <f aca="false">B815*(1+Inputs!$B$13)</f>
        <v>709236.919007809</v>
      </c>
      <c r="C816" s="34" t="n">
        <f aca="false">C815*(1+Inputs!$B$13)</f>
        <v>709236.919007809</v>
      </c>
      <c r="D816" s="34" t="n">
        <f aca="false">D815*(1+Inputs!$B$13)</f>
        <v>709236.919007809</v>
      </c>
      <c r="E816" s="34" t="n">
        <f aca="false">E815*(1+Inputs!$B$13)</f>
        <v>709236.919007809</v>
      </c>
      <c r="F816" s="34" t="n">
        <f aca="false">F815*(1+Inputs!$B$13)</f>
        <v>709236.919007809</v>
      </c>
      <c r="G816" s="34" t="n">
        <f aca="false">G815*(1+Inputs!$B$13)</f>
        <v>709236.919007809</v>
      </c>
    </row>
    <row r="817" customFormat="false" ht="15" hidden="true" customHeight="true" outlineLevel="0" collapsed="false">
      <c r="B817" s="34" t="n">
        <f aca="false">B816*(1+Inputs!$B$13)</f>
        <v>730514.026578043</v>
      </c>
      <c r="C817" s="34" t="n">
        <f aca="false">C816*(1+Inputs!$B$13)</f>
        <v>730514.026578043</v>
      </c>
      <c r="D817" s="34" t="n">
        <f aca="false">D816*(1+Inputs!$B$13)</f>
        <v>730514.026578043</v>
      </c>
      <c r="E817" s="34" t="n">
        <f aca="false">E816*(1+Inputs!$B$13)</f>
        <v>730514.026578043</v>
      </c>
      <c r="F817" s="34" t="n">
        <f aca="false">F816*(1+Inputs!$B$13)</f>
        <v>730514.026578043</v>
      </c>
      <c r="G817" s="34" t="n">
        <f aca="false">G816*(1+Inputs!$B$13)</f>
        <v>730514.026578043</v>
      </c>
    </row>
    <row r="818" customFormat="false" ht="15" hidden="true" customHeight="true" outlineLevel="0" collapsed="false">
      <c r="B818" s="34" t="n">
        <f aca="false">B817*(1+Inputs!$B$13)</f>
        <v>752429.447375384</v>
      </c>
      <c r="C818" s="34" t="n">
        <f aca="false">C817*(1+Inputs!$B$13)</f>
        <v>752429.447375384</v>
      </c>
      <c r="D818" s="34" t="n">
        <f aca="false">D817*(1+Inputs!$B$13)</f>
        <v>752429.447375384</v>
      </c>
      <c r="E818" s="34" t="n">
        <f aca="false">E817*(1+Inputs!$B$13)</f>
        <v>752429.447375384</v>
      </c>
      <c r="F818" s="34" t="n">
        <f aca="false">F817*(1+Inputs!$B$13)</f>
        <v>752429.447375384</v>
      </c>
      <c r="G818" s="34" t="n">
        <f aca="false">G817*(1+Inputs!$B$13)</f>
        <v>752429.447375384</v>
      </c>
    </row>
    <row r="819" customFormat="false" ht="15" hidden="true" customHeight="true" outlineLevel="0" collapsed="false">
      <c r="B819" s="34" t="n">
        <f aca="false">B818*(1+Inputs!$B$13)</f>
        <v>775002.330796646</v>
      </c>
      <c r="C819" s="34" t="n">
        <f aca="false">C818*(1+Inputs!$B$13)</f>
        <v>775002.330796646</v>
      </c>
      <c r="D819" s="34" t="n">
        <f aca="false">D818*(1+Inputs!$B$13)</f>
        <v>775002.330796646</v>
      </c>
      <c r="E819" s="34" t="n">
        <f aca="false">E818*(1+Inputs!$B$13)</f>
        <v>775002.330796646</v>
      </c>
      <c r="F819" s="34" t="n">
        <f aca="false">F818*(1+Inputs!$B$13)</f>
        <v>775002.330796646</v>
      </c>
      <c r="G819" s="34" t="n">
        <f aca="false">G818*(1+Inputs!$B$13)</f>
        <v>775002.330796646</v>
      </c>
    </row>
    <row r="820" customFormat="false" ht="15" hidden="true" customHeight="true" outlineLevel="0" collapsed="false">
      <c r="B820" s="34" t="n">
        <f aca="false">B819*(1+Inputs!$B$13)</f>
        <v>798252.400720545</v>
      </c>
      <c r="C820" s="34" t="n">
        <f aca="false">C819*(1+Inputs!$B$13)</f>
        <v>798252.400720545</v>
      </c>
      <c r="D820" s="34" t="n">
        <f aca="false">D819*(1+Inputs!$B$13)</f>
        <v>798252.400720545</v>
      </c>
      <c r="E820" s="34" t="n">
        <f aca="false">E819*(1+Inputs!$B$13)</f>
        <v>798252.400720545</v>
      </c>
      <c r="F820" s="34" t="n">
        <f aca="false">F819*(1+Inputs!$B$13)</f>
        <v>798252.400720545</v>
      </c>
      <c r="G820" s="34" t="n">
        <f aca="false">G819*(1+Inputs!$B$13)</f>
        <v>798252.400720545</v>
      </c>
    </row>
    <row r="821" customFormat="false" ht="15" hidden="true" customHeight="true" outlineLevel="0" collapsed="false">
      <c r="B821" s="34" t="n">
        <f aca="false">B820*(1+Inputs!$B$13)</f>
        <v>822199.972742161</v>
      </c>
      <c r="C821" s="34" t="n">
        <f aca="false">C820*(1+Inputs!$B$13)</f>
        <v>822199.972742161</v>
      </c>
      <c r="D821" s="34" t="n">
        <f aca="false">D820*(1+Inputs!$B$13)</f>
        <v>822199.972742161</v>
      </c>
      <c r="E821" s="34" t="n">
        <f aca="false">E820*(1+Inputs!$B$13)</f>
        <v>822199.972742161</v>
      </c>
      <c r="F821" s="34" t="n">
        <f aca="false">F820*(1+Inputs!$B$13)</f>
        <v>822199.972742161</v>
      </c>
      <c r="G821" s="34" t="n">
        <f aca="false">G820*(1+Inputs!$B$13)</f>
        <v>822199.972742161</v>
      </c>
    </row>
    <row r="822" customFormat="false" ht="15" hidden="true" customHeight="true" outlineLevel="0" collapsed="false">
      <c r="B822" s="34" t="n">
        <f aca="false">B821*(1+Inputs!$B$13)</f>
        <v>846865.971924426</v>
      </c>
      <c r="C822" s="34" t="n">
        <f aca="false">C821*(1+Inputs!$B$13)</f>
        <v>846865.971924426</v>
      </c>
      <c r="D822" s="34" t="n">
        <f aca="false">D821*(1+Inputs!$B$13)</f>
        <v>846865.971924426</v>
      </c>
      <c r="E822" s="34" t="n">
        <f aca="false">E821*(1+Inputs!$B$13)</f>
        <v>846865.971924426</v>
      </c>
      <c r="F822" s="34" t="n">
        <f aca="false">F821*(1+Inputs!$B$13)</f>
        <v>846865.971924426</v>
      </c>
      <c r="G822" s="34" t="n">
        <f aca="false">G821*(1+Inputs!$B$13)</f>
        <v>846865.971924426</v>
      </c>
    </row>
    <row r="823" customFormat="false" ht="15" hidden="true" customHeight="true" outlineLevel="0" collapsed="false">
      <c r="B823" s="34" t="n">
        <f aca="false">B822*(1+Inputs!$B$13)</f>
        <v>872271.951082159</v>
      </c>
      <c r="C823" s="34" t="n">
        <f aca="false">C822*(1+Inputs!$B$13)</f>
        <v>872271.951082159</v>
      </c>
      <c r="D823" s="34" t="n">
        <f aca="false">D822*(1+Inputs!$B$13)</f>
        <v>872271.951082159</v>
      </c>
      <c r="E823" s="34" t="n">
        <f aca="false">E822*(1+Inputs!$B$13)</f>
        <v>872271.951082159</v>
      </c>
      <c r="F823" s="34" t="n">
        <f aca="false">F822*(1+Inputs!$B$13)</f>
        <v>872271.951082159</v>
      </c>
      <c r="G823" s="34" t="n">
        <f aca="false">G822*(1+Inputs!$B$13)</f>
        <v>872271.951082159</v>
      </c>
    </row>
    <row r="824" customFormat="false" ht="15" hidden="true" customHeight="true" outlineLevel="0" collapsed="false">
      <c r="B824" s="34" t="n">
        <f aca="false">B823*(1+Inputs!$B$13)</f>
        <v>898440.109614624</v>
      </c>
      <c r="C824" s="34" t="n">
        <f aca="false">C823*(1+Inputs!$B$13)</f>
        <v>898440.109614624</v>
      </c>
      <c r="D824" s="34" t="n">
        <f aca="false">D823*(1+Inputs!$B$13)</f>
        <v>898440.109614624</v>
      </c>
      <c r="E824" s="34" t="n">
        <f aca="false">E823*(1+Inputs!$B$13)</f>
        <v>898440.109614624</v>
      </c>
      <c r="F824" s="34" t="n">
        <f aca="false">F823*(1+Inputs!$B$13)</f>
        <v>898440.109614624</v>
      </c>
      <c r="G824" s="34" t="n">
        <f aca="false">G823*(1+Inputs!$B$13)</f>
        <v>898440.109614624</v>
      </c>
    </row>
    <row r="825" customFormat="false" ht="15" hidden="true" customHeight="true" outlineLevel="0" collapsed="false">
      <c r="B825" s="34" t="n">
        <f aca="false">B824*(1+Inputs!$B$13)</f>
        <v>925393.312903063</v>
      </c>
      <c r="C825" s="34" t="n">
        <f aca="false">C824*(1+Inputs!$B$13)</f>
        <v>925393.312903063</v>
      </c>
      <c r="D825" s="34" t="n">
        <f aca="false">D824*(1+Inputs!$B$13)</f>
        <v>925393.312903063</v>
      </c>
      <c r="E825" s="34" t="n">
        <f aca="false">E824*(1+Inputs!$B$13)</f>
        <v>925393.312903063</v>
      </c>
      <c r="F825" s="34" t="n">
        <f aca="false">F824*(1+Inputs!$B$13)</f>
        <v>925393.312903063</v>
      </c>
      <c r="G825" s="34" t="n">
        <f aca="false">G824*(1+Inputs!$B$13)</f>
        <v>925393.312903063</v>
      </c>
    </row>
    <row r="826" customFormat="false" ht="15" hidden="true" customHeight="true" outlineLevel="0" collapsed="false">
      <c r="B826" s="34" t="n">
        <f aca="false">B825*(1+Inputs!$B$13)</f>
        <v>953155.112290154</v>
      </c>
      <c r="C826" s="34" t="n">
        <f aca="false">C825*(1+Inputs!$B$13)</f>
        <v>953155.112290154</v>
      </c>
      <c r="D826" s="34" t="n">
        <f aca="false">D825*(1+Inputs!$B$13)</f>
        <v>953155.112290154</v>
      </c>
      <c r="E826" s="34" t="n">
        <f aca="false">E825*(1+Inputs!$B$13)</f>
        <v>953155.112290154</v>
      </c>
      <c r="F826" s="34" t="n">
        <f aca="false">F825*(1+Inputs!$B$13)</f>
        <v>953155.112290154</v>
      </c>
      <c r="G826" s="34" t="n">
        <f aca="false">G825*(1+Inputs!$B$13)</f>
        <v>953155.112290154</v>
      </c>
    </row>
    <row r="827" customFormat="false" ht="15" hidden="true" customHeight="true" outlineLevel="0" collapsed="false">
      <c r="B827" s="34" t="n">
        <f aca="false">B826*(1+Inputs!$B$13)</f>
        <v>981749.765658859</v>
      </c>
      <c r="C827" s="34" t="n">
        <f aca="false">C826*(1+Inputs!$B$13)</f>
        <v>981749.765658859</v>
      </c>
      <c r="D827" s="34" t="n">
        <f aca="false">D826*(1+Inputs!$B$13)</f>
        <v>981749.765658859</v>
      </c>
      <c r="E827" s="34" t="n">
        <f aca="false">E826*(1+Inputs!$B$13)</f>
        <v>981749.765658859</v>
      </c>
      <c r="F827" s="34" t="n">
        <f aca="false">F826*(1+Inputs!$B$13)</f>
        <v>981749.765658859</v>
      </c>
      <c r="G827" s="34" t="n">
        <f aca="false">G826*(1+Inputs!$B$13)</f>
        <v>981749.765658859</v>
      </c>
    </row>
    <row r="828" customFormat="false" ht="15" hidden="true" customHeight="true" outlineLevel="0" collapsed="false">
      <c r="B828" s="34" t="n">
        <f aca="false">B827*(1+Inputs!$B$13)</f>
        <v>1011202.25862862</v>
      </c>
      <c r="C828" s="34" t="n">
        <f aca="false">C827*(1+Inputs!$B$13)</f>
        <v>1011202.25862862</v>
      </c>
      <c r="D828" s="34" t="n">
        <f aca="false">D827*(1+Inputs!$B$13)</f>
        <v>1011202.25862862</v>
      </c>
      <c r="E828" s="34" t="n">
        <f aca="false">E827*(1+Inputs!$B$13)</f>
        <v>1011202.25862862</v>
      </c>
      <c r="F828" s="34" t="n">
        <f aca="false">F827*(1+Inputs!$B$13)</f>
        <v>1011202.25862862</v>
      </c>
      <c r="G828" s="34" t="n">
        <f aca="false">G827*(1+Inputs!$B$13)</f>
        <v>1011202.25862862</v>
      </c>
    </row>
    <row r="829" customFormat="false" ht="15" hidden="true" customHeight="true" outlineLevel="0" collapsed="false">
      <c r="B829" s="34" t="n">
        <f aca="false">B828*(1+Inputs!$B$13)</f>
        <v>1041538.32638748</v>
      </c>
      <c r="C829" s="34" t="n">
        <f aca="false">C828*(1+Inputs!$B$13)</f>
        <v>1041538.32638748</v>
      </c>
      <c r="D829" s="34" t="n">
        <f aca="false">D828*(1+Inputs!$B$13)</f>
        <v>1041538.32638748</v>
      </c>
      <c r="E829" s="34" t="n">
        <f aca="false">E828*(1+Inputs!$B$13)</f>
        <v>1041538.32638748</v>
      </c>
      <c r="F829" s="34" t="n">
        <f aca="false">F828*(1+Inputs!$B$13)</f>
        <v>1041538.32638748</v>
      </c>
      <c r="G829" s="34" t="n">
        <f aca="false">G828*(1+Inputs!$B$13)</f>
        <v>1041538.32638748</v>
      </c>
    </row>
    <row r="830" customFormat="false" ht="15" hidden="true" customHeight="true" outlineLevel="0" collapsed="false"/>
    <row r="831" customFormat="false" ht="15" hidden="true" customHeight="true" outlineLevel="0" collapsed="false">
      <c r="A831" s="33" t="s">
        <v>92</v>
      </c>
      <c r="B831" s="34" t="n">
        <f aca="false">(Inputs!$B$4*(1-Inputs!$B$5))</f>
        <v>343280</v>
      </c>
      <c r="C831" s="34" t="n">
        <f aca="false">(Inputs!$B$4*(1-Inputs!$B$5))</f>
        <v>343280</v>
      </c>
      <c r="D831" s="34" t="n">
        <f aca="false">(Inputs!$B$4*(1-Inputs!$B$5))</f>
        <v>343280</v>
      </c>
      <c r="E831" s="34" t="n">
        <f aca="false">(Inputs!$B$4*(1-Inputs!$B$5))</f>
        <v>343280</v>
      </c>
      <c r="F831" s="34" t="n">
        <f aca="false">(Inputs!$B$4*(1-Inputs!$B$5))</f>
        <v>343280</v>
      </c>
      <c r="G831" s="34" t="n">
        <f aca="false">(Inputs!$B$4*(1-Inputs!$B$5))</f>
        <v>343280</v>
      </c>
    </row>
    <row r="832" customFormat="false" ht="15" hidden="true" customHeight="true" outlineLevel="0" collapsed="false">
      <c r="B832" s="34" t="n">
        <f aca="false">IF(1&gt;=Inputs!$B$7,0,ROUND(-FV(Inputs!$B$6/12,1*12,-(-PMT(Inputs!$B$6/12,Inputs!$B$7*12,(Inputs!$B$4*(1-Inputs!$B$5)))*12)/12,(Inputs!$B$4*(1-Inputs!$B$5))),2))</f>
        <v>339976.85</v>
      </c>
      <c r="C832" s="34" t="n">
        <f aca="false">IF(1&gt;=Inputs!$B$7,0,ROUND(-FV(Inputs!$B$6/12,1*12,-(-PMT(Inputs!$B$6/12,Inputs!$B$7*12,(Inputs!$B$4*(1-Inputs!$B$5)))*12)/12,(Inputs!$B$4*(1-Inputs!$B$5))),2))</f>
        <v>339976.85</v>
      </c>
      <c r="D832" s="34" t="n">
        <f aca="false">IF(1&gt;=Inputs!$B$7,0,ROUND(-FV(Inputs!$B$6/12,1*12,-(-PMT(Inputs!$B$6/12,Inputs!$B$7*12,(Inputs!$B$4*(1-Inputs!$B$5)))*12)/12,(Inputs!$B$4*(1-Inputs!$B$5))),2))</f>
        <v>339976.85</v>
      </c>
      <c r="E832" s="34" t="n">
        <f aca="false">IF(1&gt;=Inputs!$B$7,0,ROUND(-FV(Inputs!$B$6/12,1*12,-(-PMT(Inputs!$B$6/12,Inputs!$B$7*12,(Inputs!$B$4*(1-Inputs!$B$5)))*12)/12,(Inputs!$B$4*(1-Inputs!$B$5))),2))</f>
        <v>339976.85</v>
      </c>
      <c r="F832" s="34" t="n">
        <f aca="false">IF(1&gt;=Inputs!$B$7,0,ROUND(-FV(Inputs!$B$6/12,1*12,-(-PMT(Inputs!$B$6/12,Inputs!$B$7*12,(Inputs!$B$4*(1-Inputs!$B$5)))*12)/12,(Inputs!$B$4*(1-Inputs!$B$5))),2))</f>
        <v>339976.85</v>
      </c>
      <c r="G832" s="34" t="n">
        <f aca="false">IF(1&gt;=Inputs!$B$7,0,ROUND(-FV(Inputs!$B$6/12,1*12,-(-PMT(Inputs!$B$6/12,Inputs!$B$7*12,(Inputs!$B$4*(1-Inputs!$B$5)))*12)/12,(Inputs!$B$4*(1-Inputs!$B$5))),2))</f>
        <v>339976.85</v>
      </c>
    </row>
    <row r="833" customFormat="false" ht="15" hidden="true" customHeight="true" outlineLevel="0" collapsed="false">
      <c r="B833" s="34" t="n">
        <f aca="false">IF(2&gt;=Inputs!$B$7,0,ROUND(-FV(Inputs!$B$6/12,2*12,-(-PMT(Inputs!$B$6/12,Inputs!$B$7*12,(Inputs!$B$4*(1-Inputs!$B$5)))*12)/12,(Inputs!$B$4*(1-Inputs!$B$5))),2))</f>
        <v>336425.03</v>
      </c>
      <c r="C833" s="34" t="n">
        <f aca="false">IF(2&gt;=Inputs!$B$7,0,ROUND(-FV(Inputs!$B$6/12,2*12,-(-PMT(Inputs!$B$6/12,Inputs!$B$7*12,(Inputs!$B$4*(1-Inputs!$B$5)))*12)/12,(Inputs!$B$4*(1-Inputs!$B$5))),2))</f>
        <v>336425.03</v>
      </c>
      <c r="D833" s="34" t="n">
        <f aca="false">IF(2&gt;=Inputs!$B$7,0,ROUND(-FV(Inputs!$B$6/12,2*12,-(-PMT(Inputs!$B$6/12,Inputs!$B$7*12,(Inputs!$B$4*(1-Inputs!$B$5)))*12)/12,(Inputs!$B$4*(1-Inputs!$B$5))),2))</f>
        <v>336425.03</v>
      </c>
      <c r="E833" s="34" t="n">
        <f aca="false">IF(2&gt;=Inputs!$B$7,0,ROUND(-FV(Inputs!$B$6/12,2*12,-(-PMT(Inputs!$B$6/12,Inputs!$B$7*12,(Inputs!$B$4*(1-Inputs!$B$5)))*12)/12,(Inputs!$B$4*(1-Inputs!$B$5))),2))</f>
        <v>336425.03</v>
      </c>
      <c r="F833" s="34" t="n">
        <f aca="false">IF(2&gt;=Inputs!$B$7,0,ROUND(-FV(Inputs!$B$6/12,2*12,-(-PMT(Inputs!$B$6/12,Inputs!$B$7*12,(Inputs!$B$4*(1-Inputs!$B$5)))*12)/12,(Inputs!$B$4*(1-Inputs!$B$5))),2))</f>
        <v>336425.03</v>
      </c>
      <c r="G833" s="34" t="n">
        <f aca="false">IF(2&gt;=Inputs!$B$7,0,ROUND(-FV(Inputs!$B$6/12,2*12,-(-PMT(Inputs!$B$6/12,Inputs!$B$7*12,(Inputs!$B$4*(1-Inputs!$B$5)))*12)/12,(Inputs!$B$4*(1-Inputs!$B$5))),2))</f>
        <v>336425.03</v>
      </c>
    </row>
    <row r="834" customFormat="false" ht="15" hidden="true" customHeight="true" outlineLevel="0" collapsed="false">
      <c r="B834" s="34" t="n">
        <f aca="false">IF(3&gt;=Inputs!$B$7,0,ROUND(-FV(Inputs!$B$6/12,3*12,-(-PMT(Inputs!$B$6/12,Inputs!$B$7*12,(Inputs!$B$4*(1-Inputs!$B$5)))*12)/12,(Inputs!$B$4*(1-Inputs!$B$5))),2))</f>
        <v>332605.85</v>
      </c>
      <c r="C834" s="34" t="n">
        <f aca="false">IF(3&gt;=Inputs!$B$7,0,ROUND(-FV(Inputs!$B$6/12,3*12,-(-PMT(Inputs!$B$6/12,Inputs!$B$7*12,(Inputs!$B$4*(1-Inputs!$B$5)))*12)/12,(Inputs!$B$4*(1-Inputs!$B$5))),2))</f>
        <v>332605.85</v>
      </c>
      <c r="D834" s="34" t="n">
        <f aca="false">IF(3&gt;=Inputs!$B$7,0,ROUND(-FV(Inputs!$B$6/12,3*12,-(-PMT(Inputs!$B$6/12,Inputs!$B$7*12,(Inputs!$B$4*(1-Inputs!$B$5)))*12)/12,(Inputs!$B$4*(1-Inputs!$B$5))),2))</f>
        <v>332605.85</v>
      </c>
      <c r="E834" s="34" t="n">
        <f aca="false">IF(3&gt;=Inputs!$B$7,0,ROUND(-FV(Inputs!$B$6/12,3*12,-(-PMT(Inputs!$B$6/12,Inputs!$B$7*12,(Inputs!$B$4*(1-Inputs!$B$5)))*12)/12,(Inputs!$B$4*(1-Inputs!$B$5))),2))</f>
        <v>332605.85</v>
      </c>
      <c r="F834" s="34" t="n">
        <f aca="false">IF(3&gt;=Inputs!$B$7,0,ROUND(-FV(Inputs!$B$6/12,3*12,-(-PMT(Inputs!$B$6/12,Inputs!$B$7*12,(Inputs!$B$4*(1-Inputs!$B$5)))*12)/12,(Inputs!$B$4*(1-Inputs!$B$5))),2))</f>
        <v>332605.85</v>
      </c>
      <c r="G834" s="34" t="n">
        <f aca="false">IF(3&gt;=Inputs!$B$7,0,ROUND(-FV(Inputs!$B$6/12,3*12,-(-PMT(Inputs!$B$6/12,Inputs!$B$7*12,(Inputs!$B$4*(1-Inputs!$B$5)))*12)/12,(Inputs!$B$4*(1-Inputs!$B$5))),2))</f>
        <v>332605.85</v>
      </c>
    </row>
    <row r="835" customFormat="false" ht="15" hidden="true" customHeight="true" outlineLevel="0" collapsed="false">
      <c r="B835" s="34" t="n">
        <f aca="false">IF(4&gt;=Inputs!$B$7,0,ROUND(-FV(Inputs!$B$6/12,4*12,-(-PMT(Inputs!$B$6/12,Inputs!$B$7*12,(Inputs!$B$4*(1-Inputs!$B$5)))*12)/12,(Inputs!$B$4*(1-Inputs!$B$5))),2))</f>
        <v>328499.15</v>
      </c>
      <c r="C835" s="34" t="n">
        <f aca="false">IF(4&gt;=Inputs!$B$7,0,ROUND(-FV(Inputs!$B$6/12,4*12,-(-PMT(Inputs!$B$6/12,Inputs!$B$7*12,(Inputs!$B$4*(1-Inputs!$B$5)))*12)/12,(Inputs!$B$4*(1-Inputs!$B$5))),2))</f>
        <v>328499.15</v>
      </c>
      <c r="D835" s="34" t="n">
        <f aca="false">IF(4&gt;=Inputs!$B$7,0,ROUND(-FV(Inputs!$B$6/12,4*12,-(-PMT(Inputs!$B$6/12,Inputs!$B$7*12,(Inputs!$B$4*(1-Inputs!$B$5)))*12)/12,(Inputs!$B$4*(1-Inputs!$B$5))),2))</f>
        <v>328499.15</v>
      </c>
      <c r="E835" s="34" t="n">
        <f aca="false">IF(4&gt;=Inputs!$B$7,0,ROUND(-FV(Inputs!$B$6/12,4*12,-(-PMT(Inputs!$B$6/12,Inputs!$B$7*12,(Inputs!$B$4*(1-Inputs!$B$5)))*12)/12,(Inputs!$B$4*(1-Inputs!$B$5))),2))</f>
        <v>328499.15</v>
      </c>
      <c r="F835" s="34" t="n">
        <f aca="false">IF(4&gt;=Inputs!$B$7,0,ROUND(-FV(Inputs!$B$6/12,4*12,-(-PMT(Inputs!$B$6/12,Inputs!$B$7*12,(Inputs!$B$4*(1-Inputs!$B$5)))*12)/12,(Inputs!$B$4*(1-Inputs!$B$5))),2))</f>
        <v>328499.15</v>
      </c>
      <c r="G835" s="34" t="n">
        <f aca="false">IF(4&gt;=Inputs!$B$7,0,ROUND(-FV(Inputs!$B$6/12,4*12,-(-PMT(Inputs!$B$6/12,Inputs!$B$7*12,(Inputs!$B$4*(1-Inputs!$B$5)))*12)/12,(Inputs!$B$4*(1-Inputs!$B$5))),2))</f>
        <v>328499.15</v>
      </c>
    </row>
    <row r="836" customFormat="false" ht="15" hidden="true" customHeight="true" outlineLevel="0" collapsed="false">
      <c r="B836" s="34" t="n">
        <f aca="false">IF(5&gt;=Inputs!$B$7,0,ROUND(-FV(Inputs!$B$6/12,5*12,-(-PMT(Inputs!$B$6/12,Inputs!$B$7*12,(Inputs!$B$4*(1-Inputs!$B$5)))*12)/12,(Inputs!$B$4*(1-Inputs!$B$5))),2))</f>
        <v>324083.31</v>
      </c>
      <c r="C836" s="34" t="n">
        <f aca="false">IF(5&gt;=Inputs!$B$7,0,ROUND(-FV(Inputs!$B$6/12,5*12,-(-PMT(Inputs!$B$6/12,Inputs!$B$7*12,(Inputs!$B$4*(1-Inputs!$B$5)))*12)/12,(Inputs!$B$4*(1-Inputs!$B$5))),2))</f>
        <v>324083.31</v>
      </c>
      <c r="D836" s="34" t="n">
        <f aca="false">IF(5&gt;=Inputs!$B$7,0,ROUND(-FV(Inputs!$B$6/12,5*12,-(-PMT(Inputs!$B$6/12,Inputs!$B$7*12,(Inputs!$B$4*(1-Inputs!$B$5)))*12)/12,(Inputs!$B$4*(1-Inputs!$B$5))),2))</f>
        <v>324083.31</v>
      </c>
      <c r="E836" s="34" t="n">
        <f aca="false">IF(5&gt;=Inputs!$B$7,0,ROUND(-FV(Inputs!$B$6/12,5*12,-(-PMT(Inputs!$B$6/12,Inputs!$B$7*12,(Inputs!$B$4*(1-Inputs!$B$5)))*12)/12,(Inputs!$B$4*(1-Inputs!$B$5))),2))</f>
        <v>324083.31</v>
      </c>
      <c r="F836" s="34" t="n">
        <f aca="false">IF(5&gt;=Inputs!$B$7,0,ROUND(-FV(Inputs!$B$6/12,5*12,-(-PMT(Inputs!$B$6/12,Inputs!$B$7*12,(Inputs!$B$4*(1-Inputs!$B$5)))*12)/12,(Inputs!$B$4*(1-Inputs!$B$5))),2))</f>
        <v>324083.31</v>
      </c>
      <c r="G836" s="34" t="n">
        <f aca="false">IF(5&gt;=Inputs!$B$7,0,ROUND(-FV(Inputs!$B$6/12,5*12,-(-PMT(Inputs!$B$6/12,Inputs!$B$7*12,(Inputs!$B$4*(1-Inputs!$B$5)))*12)/12,(Inputs!$B$4*(1-Inputs!$B$5))),2))</f>
        <v>324083.31</v>
      </c>
    </row>
    <row r="837" customFormat="false" ht="15" hidden="true" customHeight="true" outlineLevel="0" collapsed="false">
      <c r="B837" s="34" t="n">
        <f aca="false">IF(6&gt;=Inputs!$B$7,0,ROUND(-FV(Inputs!$B$6/12,6*12,-(-PMT(Inputs!$B$6/12,Inputs!$B$7*12,(Inputs!$B$4*(1-Inputs!$B$5)))*12)/12,(Inputs!$B$4*(1-Inputs!$B$5))),2))</f>
        <v>319335.05</v>
      </c>
      <c r="C837" s="34" t="n">
        <f aca="false">IF(6&gt;=Inputs!$B$7,0,ROUND(-FV(Inputs!$B$6/12,6*12,-(-PMT(Inputs!$B$6/12,Inputs!$B$7*12,(Inputs!$B$4*(1-Inputs!$B$5)))*12)/12,(Inputs!$B$4*(1-Inputs!$B$5))),2))</f>
        <v>319335.05</v>
      </c>
      <c r="D837" s="34" t="n">
        <f aca="false">IF(6&gt;=Inputs!$B$7,0,ROUND(-FV(Inputs!$B$6/12,6*12,-(-PMT(Inputs!$B$6/12,Inputs!$B$7*12,(Inputs!$B$4*(1-Inputs!$B$5)))*12)/12,(Inputs!$B$4*(1-Inputs!$B$5))),2))</f>
        <v>319335.05</v>
      </c>
      <c r="E837" s="34" t="n">
        <f aca="false">IF(6&gt;=Inputs!$B$7,0,ROUND(-FV(Inputs!$B$6/12,6*12,-(-PMT(Inputs!$B$6/12,Inputs!$B$7*12,(Inputs!$B$4*(1-Inputs!$B$5)))*12)/12,(Inputs!$B$4*(1-Inputs!$B$5))),2))</f>
        <v>319335.05</v>
      </c>
      <c r="F837" s="34" t="n">
        <f aca="false">IF(6&gt;=Inputs!$B$7,0,ROUND(-FV(Inputs!$B$6/12,6*12,-(-PMT(Inputs!$B$6/12,Inputs!$B$7*12,(Inputs!$B$4*(1-Inputs!$B$5)))*12)/12,(Inputs!$B$4*(1-Inputs!$B$5))),2))</f>
        <v>319335.05</v>
      </c>
      <c r="G837" s="34" t="n">
        <f aca="false">IF(6&gt;=Inputs!$B$7,0,ROUND(-FV(Inputs!$B$6/12,6*12,-(-PMT(Inputs!$B$6/12,Inputs!$B$7*12,(Inputs!$B$4*(1-Inputs!$B$5)))*12)/12,(Inputs!$B$4*(1-Inputs!$B$5))),2))</f>
        <v>319335.05</v>
      </c>
    </row>
    <row r="838" customFormat="false" ht="15" hidden="true" customHeight="true" outlineLevel="0" collapsed="false">
      <c r="B838" s="34" t="n">
        <f aca="false">IF(7&gt;=Inputs!$B$7,0,ROUND(-FV(Inputs!$B$6/12,7*12,-(-PMT(Inputs!$B$6/12,Inputs!$B$7*12,(Inputs!$B$4*(1-Inputs!$B$5)))*12)/12,(Inputs!$B$4*(1-Inputs!$B$5))),2))</f>
        <v>314229.35</v>
      </c>
      <c r="C838" s="34" t="n">
        <f aca="false">IF(7&gt;=Inputs!$B$7,0,ROUND(-FV(Inputs!$B$6/12,7*12,-(-PMT(Inputs!$B$6/12,Inputs!$B$7*12,(Inputs!$B$4*(1-Inputs!$B$5)))*12)/12,(Inputs!$B$4*(1-Inputs!$B$5))),2))</f>
        <v>314229.35</v>
      </c>
      <c r="D838" s="34" t="n">
        <f aca="false">IF(7&gt;=Inputs!$B$7,0,ROUND(-FV(Inputs!$B$6/12,7*12,-(-PMT(Inputs!$B$6/12,Inputs!$B$7*12,(Inputs!$B$4*(1-Inputs!$B$5)))*12)/12,(Inputs!$B$4*(1-Inputs!$B$5))),2))</f>
        <v>314229.35</v>
      </c>
      <c r="E838" s="34" t="n">
        <f aca="false">IF(7&gt;=Inputs!$B$7,0,ROUND(-FV(Inputs!$B$6/12,7*12,-(-PMT(Inputs!$B$6/12,Inputs!$B$7*12,(Inputs!$B$4*(1-Inputs!$B$5)))*12)/12,(Inputs!$B$4*(1-Inputs!$B$5))),2))</f>
        <v>314229.35</v>
      </c>
      <c r="F838" s="34" t="n">
        <f aca="false">IF(7&gt;=Inputs!$B$7,0,ROUND(-FV(Inputs!$B$6/12,7*12,-(-PMT(Inputs!$B$6/12,Inputs!$B$7*12,(Inputs!$B$4*(1-Inputs!$B$5)))*12)/12,(Inputs!$B$4*(1-Inputs!$B$5))),2))</f>
        <v>314229.35</v>
      </c>
      <c r="G838" s="34" t="n">
        <f aca="false">IF(7&gt;=Inputs!$B$7,0,ROUND(-FV(Inputs!$B$6/12,7*12,-(-PMT(Inputs!$B$6/12,Inputs!$B$7*12,(Inputs!$B$4*(1-Inputs!$B$5)))*12)/12,(Inputs!$B$4*(1-Inputs!$B$5))),2))</f>
        <v>314229.35</v>
      </c>
    </row>
    <row r="839" customFormat="false" ht="15" hidden="true" customHeight="true" outlineLevel="0" collapsed="false">
      <c r="B839" s="34" t="n">
        <f aca="false">IF(8&gt;=Inputs!$B$7,0,ROUND(-FV(Inputs!$B$6/12,8*12,-(-PMT(Inputs!$B$6/12,Inputs!$B$7*12,(Inputs!$B$4*(1-Inputs!$B$5)))*12)/12,(Inputs!$B$4*(1-Inputs!$B$5))),2))</f>
        <v>308739.3</v>
      </c>
      <c r="C839" s="34" t="n">
        <f aca="false">IF(8&gt;=Inputs!$B$7,0,ROUND(-FV(Inputs!$B$6/12,8*12,-(-PMT(Inputs!$B$6/12,Inputs!$B$7*12,(Inputs!$B$4*(1-Inputs!$B$5)))*12)/12,(Inputs!$B$4*(1-Inputs!$B$5))),2))</f>
        <v>308739.3</v>
      </c>
      <c r="D839" s="34" t="n">
        <f aca="false">IF(8&gt;=Inputs!$B$7,0,ROUND(-FV(Inputs!$B$6/12,8*12,-(-PMT(Inputs!$B$6/12,Inputs!$B$7*12,(Inputs!$B$4*(1-Inputs!$B$5)))*12)/12,(Inputs!$B$4*(1-Inputs!$B$5))),2))</f>
        <v>308739.3</v>
      </c>
      <c r="E839" s="34" t="n">
        <f aca="false">IF(8&gt;=Inputs!$B$7,0,ROUND(-FV(Inputs!$B$6/12,8*12,-(-PMT(Inputs!$B$6/12,Inputs!$B$7*12,(Inputs!$B$4*(1-Inputs!$B$5)))*12)/12,(Inputs!$B$4*(1-Inputs!$B$5))),2))</f>
        <v>308739.3</v>
      </c>
      <c r="F839" s="34" t="n">
        <f aca="false">IF(8&gt;=Inputs!$B$7,0,ROUND(-FV(Inputs!$B$6/12,8*12,-(-PMT(Inputs!$B$6/12,Inputs!$B$7*12,(Inputs!$B$4*(1-Inputs!$B$5)))*12)/12,(Inputs!$B$4*(1-Inputs!$B$5))),2))</f>
        <v>308739.3</v>
      </c>
      <c r="G839" s="34" t="n">
        <f aca="false">IF(8&gt;=Inputs!$B$7,0,ROUND(-FV(Inputs!$B$6/12,8*12,-(-PMT(Inputs!$B$6/12,Inputs!$B$7*12,(Inputs!$B$4*(1-Inputs!$B$5)))*12)/12,(Inputs!$B$4*(1-Inputs!$B$5))),2))</f>
        <v>308739.3</v>
      </c>
    </row>
    <row r="840" customFormat="false" ht="15" hidden="true" customHeight="true" outlineLevel="0" collapsed="false">
      <c r="B840" s="34" t="n">
        <f aca="false">IF(9&gt;=Inputs!$B$7,0,ROUND(-FV(Inputs!$B$6/12,9*12,-(-PMT(Inputs!$B$6/12,Inputs!$B$7*12,(Inputs!$B$4*(1-Inputs!$B$5)))*12)/12,(Inputs!$B$4*(1-Inputs!$B$5))),2))</f>
        <v>302835.96</v>
      </c>
      <c r="C840" s="34" t="n">
        <f aca="false">IF(9&gt;=Inputs!$B$7,0,ROUND(-FV(Inputs!$B$6/12,9*12,-(-PMT(Inputs!$B$6/12,Inputs!$B$7*12,(Inputs!$B$4*(1-Inputs!$B$5)))*12)/12,(Inputs!$B$4*(1-Inputs!$B$5))),2))</f>
        <v>302835.96</v>
      </c>
      <c r="D840" s="34" t="n">
        <f aca="false">IF(9&gt;=Inputs!$B$7,0,ROUND(-FV(Inputs!$B$6/12,9*12,-(-PMT(Inputs!$B$6/12,Inputs!$B$7*12,(Inputs!$B$4*(1-Inputs!$B$5)))*12)/12,(Inputs!$B$4*(1-Inputs!$B$5))),2))</f>
        <v>302835.96</v>
      </c>
      <c r="E840" s="34" t="n">
        <f aca="false">IF(9&gt;=Inputs!$B$7,0,ROUND(-FV(Inputs!$B$6/12,9*12,-(-PMT(Inputs!$B$6/12,Inputs!$B$7*12,(Inputs!$B$4*(1-Inputs!$B$5)))*12)/12,(Inputs!$B$4*(1-Inputs!$B$5))),2))</f>
        <v>302835.96</v>
      </c>
      <c r="F840" s="34" t="n">
        <f aca="false">IF(9&gt;=Inputs!$B$7,0,ROUND(-FV(Inputs!$B$6/12,9*12,-(-PMT(Inputs!$B$6/12,Inputs!$B$7*12,(Inputs!$B$4*(1-Inputs!$B$5)))*12)/12,(Inputs!$B$4*(1-Inputs!$B$5))),2))</f>
        <v>302835.96</v>
      </c>
      <c r="G840" s="34" t="n">
        <f aca="false">IF(9&gt;=Inputs!$B$7,0,ROUND(-FV(Inputs!$B$6/12,9*12,-(-PMT(Inputs!$B$6/12,Inputs!$B$7*12,(Inputs!$B$4*(1-Inputs!$B$5)))*12)/12,(Inputs!$B$4*(1-Inputs!$B$5))),2))</f>
        <v>302835.96</v>
      </c>
    </row>
    <row r="841" customFormat="false" ht="15" hidden="true" customHeight="true" outlineLevel="0" collapsed="false">
      <c r="B841" s="34" t="n">
        <f aca="false">IF(10&gt;=Inputs!$B$7,0,ROUND(-FV(Inputs!$B$6/12,10*12,-(-PMT(Inputs!$B$6/12,Inputs!$B$7*12,(Inputs!$B$4*(1-Inputs!$B$5)))*12)/12,(Inputs!$B$4*(1-Inputs!$B$5))),2))</f>
        <v>296488.22</v>
      </c>
      <c r="C841" s="34" t="n">
        <f aca="false">IF(10&gt;=Inputs!$B$7,0,ROUND(-FV(Inputs!$B$6/12,10*12,-(-PMT(Inputs!$B$6/12,Inputs!$B$7*12,(Inputs!$B$4*(1-Inputs!$B$5)))*12)/12,(Inputs!$B$4*(1-Inputs!$B$5))),2))</f>
        <v>296488.22</v>
      </c>
      <c r="D841" s="34" t="n">
        <f aca="false">IF(10&gt;=Inputs!$B$7,0,ROUND(-FV(Inputs!$B$6/12,10*12,-(-PMT(Inputs!$B$6/12,Inputs!$B$7*12,(Inputs!$B$4*(1-Inputs!$B$5)))*12)/12,(Inputs!$B$4*(1-Inputs!$B$5))),2))</f>
        <v>296488.22</v>
      </c>
      <c r="E841" s="34" t="n">
        <f aca="false">IF(10&gt;=Inputs!$B$7,0,ROUND(-FV(Inputs!$B$6/12,10*12,-(-PMT(Inputs!$B$6/12,Inputs!$B$7*12,(Inputs!$B$4*(1-Inputs!$B$5)))*12)/12,(Inputs!$B$4*(1-Inputs!$B$5))),2))</f>
        <v>296488.22</v>
      </c>
      <c r="F841" s="34" t="n">
        <f aca="false">IF(10&gt;=Inputs!$B$7,0,ROUND(-FV(Inputs!$B$6/12,10*12,-(-PMT(Inputs!$B$6/12,Inputs!$B$7*12,(Inputs!$B$4*(1-Inputs!$B$5)))*12)/12,(Inputs!$B$4*(1-Inputs!$B$5))),2))</f>
        <v>296488.22</v>
      </c>
      <c r="G841" s="34" t="n">
        <f aca="false">IF(10&gt;=Inputs!$B$7,0,ROUND(-FV(Inputs!$B$6/12,10*12,-(-PMT(Inputs!$B$6/12,Inputs!$B$7*12,(Inputs!$B$4*(1-Inputs!$B$5)))*12)/12,(Inputs!$B$4*(1-Inputs!$B$5))),2))</f>
        <v>296488.22</v>
      </c>
    </row>
    <row r="842" customFormat="false" ht="15" hidden="true" customHeight="true" outlineLevel="0" collapsed="false">
      <c r="B842" s="34" t="n">
        <f aca="false">IF(11&gt;=Inputs!$B$7,0,ROUND(-FV(Inputs!$B$6/12,11*12,-(-PMT(Inputs!$B$6/12,Inputs!$B$7*12,(Inputs!$B$4*(1-Inputs!$B$5)))*12)/12,(Inputs!$B$4*(1-Inputs!$B$5))),2))</f>
        <v>289662.63</v>
      </c>
      <c r="C842" s="34" t="n">
        <f aca="false">IF(11&gt;=Inputs!$B$7,0,ROUND(-FV(Inputs!$B$6/12,11*12,-(-PMT(Inputs!$B$6/12,Inputs!$B$7*12,(Inputs!$B$4*(1-Inputs!$B$5)))*12)/12,(Inputs!$B$4*(1-Inputs!$B$5))),2))</f>
        <v>289662.63</v>
      </c>
      <c r="D842" s="34" t="n">
        <f aca="false">IF(11&gt;=Inputs!$B$7,0,ROUND(-FV(Inputs!$B$6/12,11*12,-(-PMT(Inputs!$B$6/12,Inputs!$B$7*12,(Inputs!$B$4*(1-Inputs!$B$5)))*12)/12,(Inputs!$B$4*(1-Inputs!$B$5))),2))</f>
        <v>289662.63</v>
      </c>
      <c r="E842" s="34" t="n">
        <f aca="false">IF(11&gt;=Inputs!$B$7,0,ROUND(-FV(Inputs!$B$6/12,11*12,-(-PMT(Inputs!$B$6/12,Inputs!$B$7*12,(Inputs!$B$4*(1-Inputs!$B$5)))*12)/12,(Inputs!$B$4*(1-Inputs!$B$5))),2))</f>
        <v>289662.63</v>
      </c>
      <c r="F842" s="34" t="n">
        <f aca="false">IF(11&gt;=Inputs!$B$7,0,ROUND(-FV(Inputs!$B$6/12,11*12,-(-PMT(Inputs!$B$6/12,Inputs!$B$7*12,(Inputs!$B$4*(1-Inputs!$B$5)))*12)/12,(Inputs!$B$4*(1-Inputs!$B$5))),2))</f>
        <v>289662.63</v>
      </c>
      <c r="G842" s="34" t="n">
        <f aca="false">IF(11&gt;=Inputs!$B$7,0,ROUND(-FV(Inputs!$B$6/12,11*12,-(-PMT(Inputs!$B$6/12,Inputs!$B$7*12,(Inputs!$B$4*(1-Inputs!$B$5)))*12)/12,(Inputs!$B$4*(1-Inputs!$B$5))),2))</f>
        <v>289662.63</v>
      </c>
    </row>
    <row r="843" customFormat="false" ht="15" hidden="true" customHeight="true" outlineLevel="0" collapsed="false">
      <c r="B843" s="34" t="n">
        <f aca="false">IF(12&gt;=Inputs!$B$7,0,ROUND(-FV(Inputs!$B$6/12,12*12,-(-PMT(Inputs!$B$6/12,Inputs!$B$7*12,(Inputs!$B$4*(1-Inputs!$B$5)))*12)/12,(Inputs!$B$4*(1-Inputs!$B$5))),2))</f>
        <v>282323.22</v>
      </c>
      <c r="C843" s="34" t="n">
        <f aca="false">IF(12&gt;=Inputs!$B$7,0,ROUND(-FV(Inputs!$B$6/12,12*12,-(-PMT(Inputs!$B$6/12,Inputs!$B$7*12,(Inputs!$B$4*(1-Inputs!$B$5)))*12)/12,(Inputs!$B$4*(1-Inputs!$B$5))),2))</f>
        <v>282323.22</v>
      </c>
      <c r="D843" s="34" t="n">
        <f aca="false">IF(12&gt;=Inputs!$B$7,0,ROUND(-FV(Inputs!$B$6/12,12*12,-(-PMT(Inputs!$B$6/12,Inputs!$B$7*12,(Inputs!$B$4*(1-Inputs!$B$5)))*12)/12,(Inputs!$B$4*(1-Inputs!$B$5))),2))</f>
        <v>282323.22</v>
      </c>
      <c r="E843" s="34" t="n">
        <f aca="false">IF(12&gt;=Inputs!$B$7,0,ROUND(-FV(Inputs!$B$6/12,12*12,-(-PMT(Inputs!$B$6/12,Inputs!$B$7*12,(Inputs!$B$4*(1-Inputs!$B$5)))*12)/12,(Inputs!$B$4*(1-Inputs!$B$5))),2))</f>
        <v>282323.22</v>
      </c>
      <c r="F843" s="34" t="n">
        <f aca="false">IF(12&gt;=Inputs!$B$7,0,ROUND(-FV(Inputs!$B$6/12,12*12,-(-PMT(Inputs!$B$6/12,Inputs!$B$7*12,(Inputs!$B$4*(1-Inputs!$B$5)))*12)/12,(Inputs!$B$4*(1-Inputs!$B$5))),2))</f>
        <v>282323.22</v>
      </c>
      <c r="G843" s="34" t="n">
        <f aca="false">IF(12&gt;=Inputs!$B$7,0,ROUND(-FV(Inputs!$B$6/12,12*12,-(-PMT(Inputs!$B$6/12,Inputs!$B$7*12,(Inputs!$B$4*(1-Inputs!$B$5)))*12)/12,(Inputs!$B$4*(1-Inputs!$B$5))),2))</f>
        <v>282323.22</v>
      </c>
    </row>
    <row r="844" customFormat="false" ht="15" hidden="true" customHeight="true" outlineLevel="0" collapsed="false">
      <c r="B844" s="34" t="n">
        <f aca="false">IF(13&gt;=Inputs!$B$7,0,ROUND(-FV(Inputs!$B$6/12,13*12,-(-PMT(Inputs!$B$6/12,Inputs!$B$7*12,(Inputs!$B$4*(1-Inputs!$B$5)))*12)/12,(Inputs!$B$4*(1-Inputs!$B$5))),2))</f>
        <v>274431.31</v>
      </c>
      <c r="C844" s="34" t="n">
        <f aca="false">IF(13&gt;=Inputs!$B$7,0,ROUND(-FV(Inputs!$B$6/12,13*12,-(-PMT(Inputs!$B$6/12,Inputs!$B$7*12,(Inputs!$B$4*(1-Inputs!$B$5)))*12)/12,(Inputs!$B$4*(1-Inputs!$B$5))),2))</f>
        <v>274431.31</v>
      </c>
      <c r="D844" s="34" t="n">
        <f aca="false">IF(13&gt;=Inputs!$B$7,0,ROUND(-FV(Inputs!$B$6/12,13*12,-(-PMT(Inputs!$B$6/12,Inputs!$B$7*12,(Inputs!$B$4*(1-Inputs!$B$5)))*12)/12,(Inputs!$B$4*(1-Inputs!$B$5))),2))</f>
        <v>274431.31</v>
      </c>
      <c r="E844" s="34" t="n">
        <f aca="false">IF(13&gt;=Inputs!$B$7,0,ROUND(-FV(Inputs!$B$6/12,13*12,-(-PMT(Inputs!$B$6/12,Inputs!$B$7*12,(Inputs!$B$4*(1-Inputs!$B$5)))*12)/12,(Inputs!$B$4*(1-Inputs!$B$5))),2))</f>
        <v>274431.31</v>
      </c>
      <c r="F844" s="34" t="n">
        <f aca="false">IF(13&gt;=Inputs!$B$7,0,ROUND(-FV(Inputs!$B$6/12,13*12,-(-PMT(Inputs!$B$6/12,Inputs!$B$7*12,(Inputs!$B$4*(1-Inputs!$B$5)))*12)/12,(Inputs!$B$4*(1-Inputs!$B$5))),2))</f>
        <v>274431.31</v>
      </c>
      <c r="G844" s="34" t="n">
        <f aca="false">IF(13&gt;=Inputs!$B$7,0,ROUND(-FV(Inputs!$B$6/12,13*12,-(-PMT(Inputs!$B$6/12,Inputs!$B$7*12,(Inputs!$B$4*(1-Inputs!$B$5)))*12)/12,(Inputs!$B$4*(1-Inputs!$B$5))),2))</f>
        <v>274431.31</v>
      </c>
    </row>
    <row r="845" customFormat="false" ht="15" hidden="true" customHeight="true" outlineLevel="0" collapsed="false">
      <c r="B845" s="34" t="n">
        <f aca="false">IF(14&gt;=Inputs!$B$7,0,ROUND(-FV(Inputs!$B$6/12,14*12,-(-PMT(Inputs!$B$6/12,Inputs!$B$7*12,(Inputs!$B$4*(1-Inputs!$B$5)))*12)/12,(Inputs!$B$4*(1-Inputs!$B$5))),2))</f>
        <v>265945.3</v>
      </c>
      <c r="C845" s="34" t="n">
        <f aca="false">IF(14&gt;=Inputs!$B$7,0,ROUND(-FV(Inputs!$B$6/12,14*12,-(-PMT(Inputs!$B$6/12,Inputs!$B$7*12,(Inputs!$B$4*(1-Inputs!$B$5)))*12)/12,(Inputs!$B$4*(1-Inputs!$B$5))),2))</f>
        <v>265945.3</v>
      </c>
      <c r="D845" s="34" t="n">
        <f aca="false">IF(14&gt;=Inputs!$B$7,0,ROUND(-FV(Inputs!$B$6/12,14*12,-(-PMT(Inputs!$B$6/12,Inputs!$B$7*12,(Inputs!$B$4*(1-Inputs!$B$5)))*12)/12,(Inputs!$B$4*(1-Inputs!$B$5))),2))</f>
        <v>265945.3</v>
      </c>
      <c r="E845" s="34" t="n">
        <f aca="false">IF(14&gt;=Inputs!$B$7,0,ROUND(-FV(Inputs!$B$6/12,14*12,-(-PMT(Inputs!$B$6/12,Inputs!$B$7*12,(Inputs!$B$4*(1-Inputs!$B$5)))*12)/12,(Inputs!$B$4*(1-Inputs!$B$5))),2))</f>
        <v>265945.3</v>
      </c>
      <c r="F845" s="34" t="n">
        <f aca="false">IF(14&gt;=Inputs!$B$7,0,ROUND(-FV(Inputs!$B$6/12,14*12,-(-PMT(Inputs!$B$6/12,Inputs!$B$7*12,(Inputs!$B$4*(1-Inputs!$B$5)))*12)/12,(Inputs!$B$4*(1-Inputs!$B$5))),2))</f>
        <v>265945.3</v>
      </c>
      <c r="G845" s="34" t="n">
        <f aca="false">IF(14&gt;=Inputs!$B$7,0,ROUND(-FV(Inputs!$B$6/12,14*12,-(-PMT(Inputs!$B$6/12,Inputs!$B$7*12,(Inputs!$B$4*(1-Inputs!$B$5)))*12)/12,(Inputs!$B$4*(1-Inputs!$B$5))),2))</f>
        <v>265945.3</v>
      </c>
    </row>
    <row r="846" customFormat="false" ht="15" hidden="true" customHeight="true" outlineLevel="0" collapsed="false">
      <c r="B846" s="34" t="n">
        <f aca="false">IF(15&gt;=Inputs!$B$7,0,ROUND(-FV(Inputs!$B$6/12,15*12,-(-PMT(Inputs!$B$6/12,Inputs!$B$7*12,(Inputs!$B$4*(1-Inputs!$B$5)))*12)/12,(Inputs!$B$4*(1-Inputs!$B$5))),2))</f>
        <v>256820.48</v>
      </c>
      <c r="C846" s="34" t="n">
        <f aca="false">IF(15&gt;=Inputs!$B$7,0,ROUND(-FV(Inputs!$B$6/12,15*12,-(-PMT(Inputs!$B$6/12,Inputs!$B$7*12,(Inputs!$B$4*(1-Inputs!$B$5)))*12)/12,(Inputs!$B$4*(1-Inputs!$B$5))),2))</f>
        <v>256820.48</v>
      </c>
      <c r="D846" s="34" t="n">
        <f aca="false">IF(15&gt;=Inputs!$B$7,0,ROUND(-FV(Inputs!$B$6/12,15*12,-(-PMT(Inputs!$B$6/12,Inputs!$B$7*12,(Inputs!$B$4*(1-Inputs!$B$5)))*12)/12,(Inputs!$B$4*(1-Inputs!$B$5))),2))</f>
        <v>256820.48</v>
      </c>
      <c r="E846" s="34" t="n">
        <f aca="false">IF(15&gt;=Inputs!$B$7,0,ROUND(-FV(Inputs!$B$6/12,15*12,-(-PMT(Inputs!$B$6/12,Inputs!$B$7*12,(Inputs!$B$4*(1-Inputs!$B$5)))*12)/12,(Inputs!$B$4*(1-Inputs!$B$5))),2))</f>
        <v>256820.48</v>
      </c>
      <c r="F846" s="34" t="n">
        <f aca="false">IF(15&gt;=Inputs!$B$7,0,ROUND(-FV(Inputs!$B$6/12,15*12,-(-PMT(Inputs!$B$6/12,Inputs!$B$7*12,(Inputs!$B$4*(1-Inputs!$B$5)))*12)/12,(Inputs!$B$4*(1-Inputs!$B$5))),2))</f>
        <v>256820.48</v>
      </c>
      <c r="G846" s="34" t="n">
        <f aca="false">IF(15&gt;=Inputs!$B$7,0,ROUND(-FV(Inputs!$B$6/12,15*12,-(-PMT(Inputs!$B$6/12,Inputs!$B$7*12,(Inputs!$B$4*(1-Inputs!$B$5)))*12)/12,(Inputs!$B$4*(1-Inputs!$B$5))),2))</f>
        <v>256820.48</v>
      </c>
    </row>
    <row r="847" customFormat="false" ht="15" hidden="true" customHeight="true" outlineLevel="0" collapsed="false">
      <c r="B847" s="34" t="n">
        <f aca="false">IF(16&gt;=Inputs!$B$7,0,ROUND(-FV(Inputs!$B$6/12,16*12,-(-PMT(Inputs!$B$6/12,Inputs!$B$7*12,(Inputs!$B$4*(1-Inputs!$B$5)))*12)/12,(Inputs!$B$4*(1-Inputs!$B$5))),2))</f>
        <v>247008.75</v>
      </c>
      <c r="C847" s="34" t="n">
        <f aca="false">IF(16&gt;=Inputs!$B$7,0,ROUND(-FV(Inputs!$B$6/12,16*12,-(-PMT(Inputs!$B$6/12,Inputs!$B$7*12,(Inputs!$B$4*(1-Inputs!$B$5)))*12)/12,(Inputs!$B$4*(1-Inputs!$B$5))),2))</f>
        <v>247008.75</v>
      </c>
      <c r="D847" s="34" t="n">
        <f aca="false">IF(16&gt;=Inputs!$B$7,0,ROUND(-FV(Inputs!$B$6/12,16*12,-(-PMT(Inputs!$B$6/12,Inputs!$B$7*12,(Inputs!$B$4*(1-Inputs!$B$5)))*12)/12,(Inputs!$B$4*(1-Inputs!$B$5))),2))</f>
        <v>247008.75</v>
      </c>
      <c r="E847" s="34" t="n">
        <f aca="false">IF(16&gt;=Inputs!$B$7,0,ROUND(-FV(Inputs!$B$6/12,16*12,-(-PMT(Inputs!$B$6/12,Inputs!$B$7*12,(Inputs!$B$4*(1-Inputs!$B$5)))*12)/12,(Inputs!$B$4*(1-Inputs!$B$5))),2))</f>
        <v>247008.75</v>
      </c>
      <c r="F847" s="34" t="n">
        <f aca="false">IF(16&gt;=Inputs!$B$7,0,ROUND(-FV(Inputs!$B$6/12,16*12,-(-PMT(Inputs!$B$6/12,Inputs!$B$7*12,(Inputs!$B$4*(1-Inputs!$B$5)))*12)/12,(Inputs!$B$4*(1-Inputs!$B$5))),2))</f>
        <v>247008.75</v>
      </c>
      <c r="G847" s="34" t="n">
        <f aca="false">IF(16&gt;=Inputs!$B$7,0,ROUND(-FV(Inputs!$B$6/12,16*12,-(-PMT(Inputs!$B$6/12,Inputs!$B$7*12,(Inputs!$B$4*(1-Inputs!$B$5)))*12)/12,(Inputs!$B$4*(1-Inputs!$B$5))),2))</f>
        <v>247008.75</v>
      </c>
    </row>
    <row r="848" customFormat="false" ht="15" hidden="true" customHeight="true" outlineLevel="0" collapsed="false">
      <c r="B848" s="34" t="n">
        <f aca="false">IF(17&gt;=Inputs!$B$7,0,ROUND(-FV(Inputs!$B$6/12,17*12,-(-PMT(Inputs!$B$6/12,Inputs!$B$7*12,(Inputs!$B$4*(1-Inputs!$B$5)))*12)/12,(Inputs!$B$4*(1-Inputs!$B$5))),2))</f>
        <v>236458.4</v>
      </c>
      <c r="C848" s="34" t="n">
        <f aca="false">IF(17&gt;=Inputs!$B$7,0,ROUND(-FV(Inputs!$B$6/12,17*12,-(-PMT(Inputs!$B$6/12,Inputs!$B$7*12,(Inputs!$B$4*(1-Inputs!$B$5)))*12)/12,(Inputs!$B$4*(1-Inputs!$B$5))),2))</f>
        <v>236458.4</v>
      </c>
      <c r="D848" s="34" t="n">
        <f aca="false">IF(17&gt;=Inputs!$B$7,0,ROUND(-FV(Inputs!$B$6/12,17*12,-(-PMT(Inputs!$B$6/12,Inputs!$B$7*12,(Inputs!$B$4*(1-Inputs!$B$5)))*12)/12,(Inputs!$B$4*(1-Inputs!$B$5))),2))</f>
        <v>236458.4</v>
      </c>
      <c r="E848" s="34" t="n">
        <f aca="false">IF(17&gt;=Inputs!$B$7,0,ROUND(-FV(Inputs!$B$6/12,17*12,-(-PMT(Inputs!$B$6/12,Inputs!$B$7*12,(Inputs!$B$4*(1-Inputs!$B$5)))*12)/12,(Inputs!$B$4*(1-Inputs!$B$5))),2))</f>
        <v>236458.4</v>
      </c>
      <c r="F848" s="34" t="n">
        <f aca="false">IF(17&gt;=Inputs!$B$7,0,ROUND(-FV(Inputs!$B$6/12,17*12,-(-PMT(Inputs!$B$6/12,Inputs!$B$7*12,(Inputs!$B$4*(1-Inputs!$B$5)))*12)/12,(Inputs!$B$4*(1-Inputs!$B$5))),2))</f>
        <v>236458.4</v>
      </c>
      <c r="G848" s="34" t="n">
        <f aca="false">IF(17&gt;=Inputs!$B$7,0,ROUND(-FV(Inputs!$B$6/12,17*12,-(-PMT(Inputs!$B$6/12,Inputs!$B$7*12,(Inputs!$B$4*(1-Inputs!$B$5)))*12)/12,(Inputs!$B$4*(1-Inputs!$B$5))),2))</f>
        <v>236458.4</v>
      </c>
    </row>
    <row r="849" customFormat="false" ht="15" hidden="true" customHeight="true" outlineLevel="0" collapsed="false">
      <c r="B849" s="34" t="n">
        <f aca="false">IF(18&gt;=Inputs!$B$7,0,ROUND(-FV(Inputs!$B$6/12,18*12,-(-PMT(Inputs!$B$6/12,Inputs!$B$7*12,(Inputs!$B$4*(1-Inputs!$B$5)))*12)/12,(Inputs!$B$4*(1-Inputs!$B$5))),2))</f>
        <v>225113.83</v>
      </c>
      <c r="C849" s="34" t="n">
        <f aca="false">IF(18&gt;=Inputs!$B$7,0,ROUND(-FV(Inputs!$B$6/12,18*12,-(-PMT(Inputs!$B$6/12,Inputs!$B$7*12,(Inputs!$B$4*(1-Inputs!$B$5)))*12)/12,(Inputs!$B$4*(1-Inputs!$B$5))),2))</f>
        <v>225113.83</v>
      </c>
      <c r="D849" s="34" t="n">
        <f aca="false">IF(18&gt;=Inputs!$B$7,0,ROUND(-FV(Inputs!$B$6/12,18*12,-(-PMT(Inputs!$B$6/12,Inputs!$B$7*12,(Inputs!$B$4*(1-Inputs!$B$5)))*12)/12,(Inputs!$B$4*(1-Inputs!$B$5))),2))</f>
        <v>225113.83</v>
      </c>
      <c r="E849" s="34" t="n">
        <f aca="false">IF(18&gt;=Inputs!$B$7,0,ROUND(-FV(Inputs!$B$6/12,18*12,-(-PMT(Inputs!$B$6/12,Inputs!$B$7*12,(Inputs!$B$4*(1-Inputs!$B$5)))*12)/12,(Inputs!$B$4*(1-Inputs!$B$5))),2))</f>
        <v>225113.83</v>
      </c>
      <c r="F849" s="34" t="n">
        <f aca="false">IF(18&gt;=Inputs!$B$7,0,ROUND(-FV(Inputs!$B$6/12,18*12,-(-PMT(Inputs!$B$6/12,Inputs!$B$7*12,(Inputs!$B$4*(1-Inputs!$B$5)))*12)/12,(Inputs!$B$4*(1-Inputs!$B$5))),2))</f>
        <v>225113.83</v>
      </c>
      <c r="G849" s="34" t="n">
        <f aca="false">IF(18&gt;=Inputs!$B$7,0,ROUND(-FV(Inputs!$B$6/12,18*12,-(-PMT(Inputs!$B$6/12,Inputs!$B$7*12,(Inputs!$B$4*(1-Inputs!$B$5)))*12)/12,(Inputs!$B$4*(1-Inputs!$B$5))),2))</f>
        <v>225113.83</v>
      </c>
    </row>
    <row r="850" customFormat="false" ht="15" hidden="true" customHeight="true" outlineLevel="0" collapsed="false">
      <c r="B850" s="34" t="n">
        <f aca="false">IF(19&gt;=Inputs!$B$7,0,ROUND(-FV(Inputs!$B$6/12,19*12,-(-PMT(Inputs!$B$6/12,Inputs!$B$7*12,(Inputs!$B$4*(1-Inputs!$B$5)))*12)/12,(Inputs!$B$4*(1-Inputs!$B$5))),2))</f>
        <v>212915.26</v>
      </c>
      <c r="C850" s="34" t="n">
        <f aca="false">IF(19&gt;=Inputs!$B$7,0,ROUND(-FV(Inputs!$B$6/12,19*12,-(-PMT(Inputs!$B$6/12,Inputs!$B$7*12,(Inputs!$B$4*(1-Inputs!$B$5)))*12)/12,(Inputs!$B$4*(1-Inputs!$B$5))),2))</f>
        <v>212915.26</v>
      </c>
      <c r="D850" s="34" t="n">
        <f aca="false">IF(19&gt;=Inputs!$B$7,0,ROUND(-FV(Inputs!$B$6/12,19*12,-(-PMT(Inputs!$B$6/12,Inputs!$B$7*12,(Inputs!$B$4*(1-Inputs!$B$5)))*12)/12,(Inputs!$B$4*(1-Inputs!$B$5))),2))</f>
        <v>212915.26</v>
      </c>
      <c r="E850" s="34" t="n">
        <f aca="false">IF(19&gt;=Inputs!$B$7,0,ROUND(-FV(Inputs!$B$6/12,19*12,-(-PMT(Inputs!$B$6/12,Inputs!$B$7*12,(Inputs!$B$4*(1-Inputs!$B$5)))*12)/12,(Inputs!$B$4*(1-Inputs!$B$5))),2))</f>
        <v>212915.26</v>
      </c>
      <c r="F850" s="34" t="n">
        <f aca="false">IF(19&gt;=Inputs!$B$7,0,ROUND(-FV(Inputs!$B$6/12,19*12,-(-PMT(Inputs!$B$6/12,Inputs!$B$7*12,(Inputs!$B$4*(1-Inputs!$B$5)))*12)/12,(Inputs!$B$4*(1-Inputs!$B$5))),2))</f>
        <v>212915.26</v>
      </c>
      <c r="G850" s="34" t="n">
        <f aca="false">IF(19&gt;=Inputs!$B$7,0,ROUND(-FV(Inputs!$B$6/12,19*12,-(-PMT(Inputs!$B$6/12,Inputs!$B$7*12,(Inputs!$B$4*(1-Inputs!$B$5)))*12)/12,(Inputs!$B$4*(1-Inputs!$B$5))),2))</f>
        <v>212915.26</v>
      </c>
    </row>
    <row r="851" customFormat="false" ht="15" hidden="true" customHeight="true" outlineLevel="0" collapsed="false">
      <c r="B851" s="34" t="n">
        <f aca="false">IF(20&gt;=Inputs!$B$7,0,ROUND(-FV(Inputs!$B$6/12,20*12,-(-PMT(Inputs!$B$6/12,Inputs!$B$7*12,(Inputs!$B$4*(1-Inputs!$B$5)))*12)/12,(Inputs!$B$4*(1-Inputs!$B$5))),2))</f>
        <v>199798.39</v>
      </c>
      <c r="C851" s="34" t="n">
        <f aca="false">IF(20&gt;=Inputs!$B$7,0,ROUND(-FV(Inputs!$B$6/12,20*12,-(-PMT(Inputs!$B$6/12,Inputs!$B$7*12,(Inputs!$B$4*(1-Inputs!$B$5)))*12)/12,(Inputs!$B$4*(1-Inputs!$B$5))),2))</f>
        <v>199798.39</v>
      </c>
      <c r="D851" s="34" t="n">
        <f aca="false">IF(20&gt;=Inputs!$B$7,0,ROUND(-FV(Inputs!$B$6/12,20*12,-(-PMT(Inputs!$B$6/12,Inputs!$B$7*12,(Inputs!$B$4*(1-Inputs!$B$5)))*12)/12,(Inputs!$B$4*(1-Inputs!$B$5))),2))</f>
        <v>199798.39</v>
      </c>
      <c r="E851" s="34" t="n">
        <f aca="false">IF(20&gt;=Inputs!$B$7,0,ROUND(-FV(Inputs!$B$6/12,20*12,-(-PMT(Inputs!$B$6/12,Inputs!$B$7*12,(Inputs!$B$4*(1-Inputs!$B$5)))*12)/12,(Inputs!$B$4*(1-Inputs!$B$5))),2))</f>
        <v>199798.39</v>
      </c>
      <c r="F851" s="34" t="n">
        <f aca="false">IF(20&gt;=Inputs!$B$7,0,ROUND(-FV(Inputs!$B$6/12,20*12,-(-PMT(Inputs!$B$6/12,Inputs!$B$7*12,(Inputs!$B$4*(1-Inputs!$B$5)))*12)/12,(Inputs!$B$4*(1-Inputs!$B$5))),2))</f>
        <v>199798.39</v>
      </c>
      <c r="G851" s="34" t="n">
        <f aca="false">IF(20&gt;=Inputs!$B$7,0,ROUND(-FV(Inputs!$B$6/12,20*12,-(-PMT(Inputs!$B$6/12,Inputs!$B$7*12,(Inputs!$B$4*(1-Inputs!$B$5)))*12)/12,(Inputs!$B$4*(1-Inputs!$B$5))),2))</f>
        <v>199798.39</v>
      </c>
    </row>
    <row r="852" customFormat="false" ht="15" hidden="true" customHeight="true" outlineLevel="0" collapsed="false">
      <c r="B852" s="34" t="n">
        <f aca="false">IF(21&gt;=Inputs!$B$7,0,ROUND(-FV(Inputs!$B$6/12,21*12,-(-PMT(Inputs!$B$6/12,Inputs!$B$7*12,(Inputs!$B$4*(1-Inputs!$B$5)))*12)/12,(Inputs!$B$4*(1-Inputs!$B$5))),2))</f>
        <v>185694.1</v>
      </c>
      <c r="C852" s="34" t="n">
        <f aca="false">IF(21&gt;=Inputs!$B$7,0,ROUND(-FV(Inputs!$B$6/12,21*12,-(-PMT(Inputs!$B$6/12,Inputs!$B$7*12,(Inputs!$B$4*(1-Inputs!$B$5)))*12)/12,(Inputs!$B$4*(1-Inputs!$B$5))),2))</f>
        <v>185694.1</v>
      </c>
      <c r="D852" s="34" t="n">
        <f aca="false">IF(21&gt;=Inputs!$B$7,0,ROUND(-FV(Inputs!$B$6/12,21*12,-(-PMT(Inputs!$B$6/12,Inputs!$B$7*12,(Inputs!$B$4*(1-Inputs!$B$5)))*12)/12,(Inputs!$B$4*(1-Inputs!$B$5))),2))</f>
        <v>185694.1</v>
      </c>
      <c r="E852" s="34" t="n">
        <f aca="false">IF(21&gt;=Inputs!$B$7,0,ROUND(-FV(Inputs!$B$6/12,21*12,-(-PMT(Inputs!$B$6/12,Inputs!$B$7*12,(Inputs!$B$4*(1-Inputs!$B$5)))*12)/12,(Inputs!$B$4*(1-Inputs!$B$5))),2))</f>
        <v>185694.1</v>
      </c>
      <c r="F852" s="34" t="n">
        <f aca="false">IF(21&gt;=Inputs!$B$7,0,ROUND(-FV(Inputs!$B$6/12,21*12,-(-PMT(Inputs!$B$6/12,Inputs!$B$7*12,(Inputs!$B$4*(1-Inputs!$B$5)))*12)/12,(Inputs!$B$4*(1-Inputs!$B$5))),2))</f>
        <v>185694.1</v>
      </c>
      <c r="G852" s="34" t="n">
        <f aca="false">IF(21&gt;=Inputs!$B$7,0,ROUND(-FV(Inputs!$B$6/12,21*12,-(-PMT(Inputs!$B$6/12,Inputs!$B$7*12,(Inputs!$B$4*(1-Inputs!$B$5)))*12)/12,(Inputs!$B$4*(1-Inputs!$B$5))),2))</f>
        <v>185694.1</v>
      </c>
    </row>
    <row r="853" customFormat="false" ht="15" hidden="true" customHeight="true" outlineLevel="0" collapsed="false">
      <c r="B853" s="34" t="n">
        <f aca="false">IF(22&gt;=Inputs!$B$7,0,ROUND(-FV(Inputs!$B$6/12,22*12,-(-PMT(Inputs!$B$6/12,Inputs!$B$7*12,(Inputs!$B$4*(1-Inputs!$B$5)))*12)/12,(Inputs!$B$4*(1-Inputs!$B$5))),2))</f>
        <v>170528.06</v>
      </c>
      <c r="C853" s="34" t="n">
        <f aca="false">IF(22&gt;=Inputs!$B$7,0,ROUND(-FV(Inputs!$B$6/12,22*12,-(-PMT(Inputs!$B$6/12,Inputs!$B$7*12,(Inputs!$B$4*(1-Inputs!$B$5)))*12)/12,(Inputs!$B$4*(1-Inputs!$B$5))),2))</f>
        <v>170528.06</v>
      </c>
      <c r="D853" s="34" t="n">
        <f aca="false">IF(22&gt;=Inputs!$B$7,0,ROUND(-FV(Inputs!$B$6/12,22*12,-(-PMT(Inputs!$B$6/12,Inputs!$B$7*12,(Inputs!$B$4*(1-Inputs!$B$5)))*12)/12,(Inputs!$B$4*(1-Inputs!$B$5))),2))</f>
        <v>170528.06</v>
      </c>
      <c r="E853" s="34" t="n">
        <f aca="false">IF(22&gt;=Inputs!$B$7,0,ROUND(-FV(Inputs!$B$6/12,22*12,-(-PMT(Inputs!$B$6/12,Inputs!$B$7*12,(Inputs!$B$4*(1-Inputs!$B$5)))*12)/12,(Inputs!$B$4*(1-Inputs!$B$5))),2))</f>
        <v>170528.06</v>
      </c>
      <c r="F853" s="34" t="n">
        <f aca="false">IF(22&gt;=Inputs!$B$7,0,ROUND(-FV(Inputs!$B$6/12,22*12,-(-PMT(Inputs!$B$6/12,Inputs!$B$7*12,(Inputs!$B$4*(1-Inputs!$B$5)))*12)/12,(Inputs!$B$4*(1-Inputs!$B$5))),2))</f>
        <v>170528.06</v>
      </c>
      <c r="G853" s="34" t="n">
        <f aca="false">IF(22&gt;=Inputs!$B$7,0,ROUND(-FV(Inputs!$B$6/12,22*12,-(-PMT(Inputs!$B$6/12,Inputs!$B$7*12,(Inputs!$B$4*(1-Inputs!$B$5)))*12)/12,(Inputs!$B$4*(1-Inputs!$B$5))),2))</f>
        <v>170528.06</v>
      </c>
    </row>
    <row r="854" customFormat="false" ht="15" hidden="true" customHeight="true" outlineLevel="0" collapsed="false">
      <c r="B854" s="34" t="n">
        <f aca="false">IF(23&gt;=Inputs!$B$7,0,ROUND(-FV(Inputs!$B$6/12,23*12,-(-PMT(Inputs!$B$6/12,Inputs!$B$7*12,(Inputs!$B$4*(1-Inputs!$B$5)))*12)/12,(Inputs!$B$4*(1-Inputs!$B$5))),2))</f>
        <v>154220.33</v>
      </c>
      <c r="C854" s="34" t="n">
        <f aca="false">IF(23&gt;=Inputs!$B$7,0,ROUND(-FV(Inputs!$B$6/12,23*12,-(-PMT(Inputs!$B$6/12,Inputs!$B$7*12,(Inputs!$B$4*(1-Inputs!$B$5)))*12)/12,(Inputs!$B$4*(1-Inputs!$B$5))),2))</f>
        <v>154220.33</v>
      </c>
      <c r="D854" s="34" t="n">
        <f aca="false">IF(23&gt;=Inputs!$B$7,0,ROUND(-FV(Inputs!$B$6/12,23*12,-(-PMT(Inputs!$B$6/12,Inputs!$B$7*12,(Inputs!$B$4*(1-Inputs!$B$5)))*12)/12,(Inputs!$B$4*(1-Inputs!$B$5))),2))</f>
        <v>154220.33</v>
      </c>
      <c r="E854" s="34" t="n">
        <f aca="false">IF(23&gt;=Inputs!$B$7,0,ROUND(-FV(Inputs!$B$6/12,23*12,-(-PMT(Inputs!$B$6/12,Inputs!$B$7*12,(Inputs!$B$4*(1-Inputs!$B$5)))*12)/12,(Inputs!$B$4*(1-Inputs!$B$5))),2))</f>
        <v>154220.33</v>
      </c>
      <c r="F854" s="34" t="n">
        <f aca="false">IF(23&gt;=Inputs!$B$7,0,ROUND(-FV(Inputs!$B$6/12,23*12,-(-PMT(Inputs!$B$6/12,Inputs!$B$7*12,(Inputs!$B$4*(1-Inputs!$B$5)))*12)/12,(Inputs!$B$4*(1-Inputs!$B$5))),2))</f>
        <v>154220.33</v>
      </c>
      <c r="G854" s="34" t="n">
        <f aca="false">IF(23&gt;=Inputs!$B$7,0,ROUND(-FV(Inputs!$B$6/12,23*12,-(-PMT(Inputs!$B$6/12,Inputs!$B$7*12,(Inputs!$B$4*(1-Inputs!$B$5)))*12)/12,(Inputs!$B$4*(1-Inputs!$B$5))),2))</f>
        <v>154220.33</v>
      </c>
    </row>
    <row r="855" customFormat="false" ht="15" hidden="true" customHeight="true" outlineLevel="0" collapsed="false">
      <c r="B855" s="34" t="n">
        <f aca="false">IF(24&gt;=Inputs!$B$7,0,ROUND(-FV(Inputs!$B$6/12,24*12,-(-PMT(Inputs!$B$6/12,Inputs!$B$7*12,(Inputs!$B$4*(1-Inputs!$B$5)))*12)/12,(Inputs!$B$4*(1-Inputs!$B$5))),2))</f>
        <v>136684.97</v>
      </c>
      <c r="C855" s="34" t="n">
        <f aca="false">IF(24&gt;=Inputs!$B$7,0,ROUND(-FV(Inputs!$B$6/12,24*12,-(-PMT(Inputs!$B$6/12,Inputs!$B$7*12,(Inputs!$B$4*(1-Inputs!$B$5)))*12)/12,(Inputs!$B$4*(1-Inputs!$B$5))),2))</f>
        <v>136684.97</v>
      </c>
      <c r="D855" s="34" t="n">
        <f aca="false">IF(24&gt;=Inputs!$B$7,0,ROUND(-FV(Inputs!$B$6/12,24*12,-(-PMT(Inputs!$B$6/12,Inputs!$B$7*12,(Inputs!$B$4*(1-Inputs!$B$5)))*12)/12,(Inputs!$B$4*(1-Inputs!$B$5))),2))</f>
        <v>136684.97</v>
      </c>
      <c r="E855" s="34" t="n">
        <f aca="false">IF(24&gt;=Inputs!$B$7,0,ROUND(-FV(Inputs!$B$6/12,24*12,-(-PMT(Inputs!$B$6/12,Inputs!$B$7*12,(Inputs!$B$4*(1-Inputs!$B$5)))*12)/12,(Inputs!$B$4*(1-Inputs!$B$5))),2))</f>
        <v>136684.97</v>
      </c>
      <c r="F855" s="34" t="n">
        <f aca="false">IF(24&gt;=Inputs!$B$7,0,ROUND(-FV(Inputs!$B$6/12,24*12,-(-PMT(Inputs!$B$6/12,Inputs!$B$7*12,(Inputs!$B$4*(1-Inputs!$B$5)))*12)/12,(Inputs!$B$4*(1-Inputs!$B$5))),2))</f>
        <v>136684.97</v>
      </c>
      <c r="G855" s="34" t="n">
        <f aca="false">IF(24&gt;=Inputs!$B$7,0,ROUND(-FV(Inputs!$B$6/12,24*12,-(-PMT(Inputs!$B$6/12,Inputs!$B$7*12,(Inputs!$B$4*(1-Inputs!$B$5)))*12)/12,(Inputs!$B$4*(1-Inputs!$B$5))),2))</f>
        <v>136684.97</v>
      </c>
    </row>
    <row r="856" customFormat="false" ht="15" hidden="true" customHeight="true" outlineLevel="0" collapsed="false">
      <c r="B856" s="34" t="n">
        <f aca="false">IF(25&gt;=Inputs!$B$7,0,ROUND(-FV(Inputs!$B$6/12,25*12,-(-PMT(Inputs!$B$6/12,Inputs!$B$7*12,(Inputs!$B$4*(1-Inputs!$B$5)))*12)/12,(Inputs!$B$4*(1-Inputs!$B$5))),2))</f>
        <v>117829.57</v>
      </c>
      <c r="C856" s="34" t="n">
        <f aca="false">IF(25&gt;=Inputs!$B$7,0,ROUND(-FV(Inputs!$B$6/12,25*12,-(-PMT(Inputs!$B$6/12,Inputs!$B$7*12,(Inputs!$B$4*(1-Inputs!$B$5)))*12)/12,(Inputs!$B$4*(1-Inputs!$B$5))),2))</f>
        <v>117829.57</v>
      </c>
      <c r="D856" s="34" t="n">
        <f aca="false">IF(25&gt;=Inputs!$B$7,0,ROUND(-FV(Inputs!$B$6/12,25*12,-(-PMT(Inputs!$B$6/12,Inputs!$B$7*12,(Inputs!$B$4*(1-Inputs!$B$5)))*12)/12,(Inputs!$B$4*(1-Inputs!$B$5))),2))</f>
        <v>117829.57</v>
      </c>
      <c r="E856" s="34" t="n">
        <f aca="false">IF(25&gt;=Inputs!$B$7,0,ROUND(-FV(Inputs!$B$6/12,25*12,-(-PMT(Inputs!$B$6/12,Inputs!$B$7*12,(Inputs!$B$4*(1-Inputs!$B$5)))*12)/12,(Inputs!$B$4*(1-Inputs!$B$5))),2))</f>
        <v>117829.57</v>
      </c>
      <c r="F856" s="34" t="n">
        <f aca="false">IF(25&gt;=Inputs!$B$7,0,ROUND(-FV(Inputs!$B$6/12,25*12,-(-PMT(Inputs!$B$6/12,Inputs!$B$7*12,(Inputs!$B$4*(1-Inputs!$B$5)))*12)/12,(Inputs!$B$4*(1-Inputs!$B$5))),2))</f>
        <v>117829.57</v>
      </c>
      <c r="G856" s="34" t="n">
        <f aca="false">IF(25&gt;=Inputs!$B$7,0,ROUND(-FV(Inputs!$B$6/12,25*12,-(-PMT(Inputs!$B$6/12,Inputs!$B$7*12,(Inputs!$B$4*(1-Inputs!$B$5)))*12)/12,(Inputs!$B$4*(1-Inputs!$B$5))),2))</f>
        <v>117829.57</v>
      </c>
    </row>
    <row r="857" customFormat="false" ht="15" hidden="true" customHeight="true" outlineLevel="0" collapsed="false">
      <c r="B857" s="34" t="n">
        <f aca="false">IF(26&gt;=Inputs!$B$7,0,ROUND(-FV(Inputs!$B$6/12,26*12,-(-PMT(Inputs!$B$6/12,Inputs!$B$7*12,(Inputs!$B$4*(1-Inputs!$B$5)))*12)/12,(Inputs!$B$4*(1-Inputs!$B$5))),2))</f>
        <v>97554.76</v>
      </c>
      <c r="C857" s="34" t="n">
        <f aca="false">IF(26&gt;=Inputs!$B$7,0,ROUND(-FV(Inputs!$B$6/12,26*12,-(-PMT(Inputs!$B$6/12,Inputs!$B$7*12,(Inputs!$B$4*(1-Inputs!$B$5)))*12)/12,(Inputs!$B$4*(1-Inputs!$B$5))),2))</f>
        <v>97554.76</v>
      </c>
      <c r="D857" s="34" t="n">
        <f aca="false">IF(26&gt;=Inputs!$B$7,0,ROUND(-FV(Inputs!$B$6/12,26*12,-(-PMT(Inputs!$B$6/12,Inputs!$B$7*12,(Inputs!$B$4*(1-Inputs!$B$5)))*12)/12,(Inputs!$B$4*(1-Inputs!$B$5))),2))</f>
        <v>97554.76</v>
      </c>
      <c r="E857" s="34" t="n">
        <f aca="false">IF(26&gt;=Inputs!$B$7,0,ROUND(-FV(Inputs!$B$6/12,26*12,-(-PMT(Inputs!$B$6/12,Inputs!$B$7*12,(Inputs!$B$4*(1-Inputs!$B$5)))*12)/12,(Inputs!$B$4*(1-Inputs!$B$5))),2))</f>
        <v>97554.76</v>
      </c>
      <c r="F857" s="34" t="n">
        <f aca="false">IF(26&gt;=Inputs!$B$7,0,ROUND(-FV(Inputs!$B$6/12,26*12,-(-PMT(Inputs!$B$6/12,Inputs!$B$7*12,(Inputs!$B$4*(1-Inputs!$B$5)))*12)/12,(Inputs!$B$4*(1-Inputs!$B$5))),2))</f>
        <v>97554.76</v>
      </c>
      <c r="G857" s="34" t="n">
        <f aca="false">IF(26&gt;=Inputs!$B$7,0,ROUND(-FV(Inputs!$B$6/12,26*12,-(-PMT(Inputs!$B$6/12,Inputs!$B$7*12,(Inputs!$B$4*(1-Inputs!$B$5)))*12)/12,(Inputs!$B$4*(1-Inputs!$B$5))),2))</f>
        <v>97554.76</v>
      </c>
    </row>
    <row r="858" customFormat="false" ht="15" hidden="true" customHeight="true" outlineLevel="0" collapsed="false">
      <c r="B858" s="34" t="n">
        <f aca="false">IF(27&gt;=Inputs!$B$7,0,ROUND(-FV(Inputs!$B$6/12,27*12,-(-PMT(Inputs!$B$6/12,Inputs!$B$7*12,(Inputs!$B$4*(1-Inputs!$B$5)))*12)/12,(Inputs!$B$4*(1-Inputs!$B$5))),2))</f>
        <v>75753.68</v>
      </c>
      <c r="C858" s="34" t="n">
        <f aca="false">IF(27&gt;=Inputs!$B$7,0,ROUND(-FV(Inputs!$B$6/12,27*12,-(-PMT(Inputs!$B$6/12,Inputs!$B$7*12,(Inputs!$B$4*(1-Inputs!$B$5)))*12)/12,(Inputs!$B$4*(1-Inputs!$B$5))),2))</f>
        <v>75753.68</v>
      </c>
      <c r="D858" s="34" t="n">
        <f aca="false">IF(27&gt;=Inputs!$B$7,0,ROUND(-FV(Inputs!$B$6/12,27*12,-(-PMT(Inputs!$B$6/12,Inputs!$B$7*12,(Inputs!$B$4*(1-Inputs!$B$5)))*12)/12,(Inputs!$B$4*(1-Inputs!$B$5))),2))</f>
        <v>75753.68</v>
      </c>
      <c r="E858" s="34" t="n">
        <f aca="false">IF(27&gt;=Inputs!$B$7,0,ROUND(-FV(Inputs!$B$6/12,27*12,-(-PMT(Inputs!$B$6/12,Inputs!$B$7*12,(Inputs!$B$4*(1-Inputs!$B$5)))*12)/12,(Inputs!$B$4*(1-Inputs!$B$5))),2))</f>
        <v>75753.68</v>
      </c>
      <c r="F858" s="34" t="n">
        <f aca="false">IF(27&gt;=Inputs!$B$7,0,ROUND(-FV(Inputs!$B$6/12,27*12,-(-PMT(Inputs!$B$6/12,Inputs!$B$7*12,(Inputs!$B$4*(1-Inputs!$B$5)))*12)/12,(Inputs!$B$4*(1-Inputs!$B$5))),2))</f>
        <v>75753.68</v>
      </c>
      <c r="G858" s="34" t="n">
        <f aca="false">IF(27&gt;=Inputs!$B$7,0,ROUND(-FV(Inputs!$B$6/12,27*12,-(-PMT(Inputs!$B$6/12,Inputs!$B$7*12,(Inputs!$B$4*(1-Inputs!$B$5)))*12)/12,(Inputs!$B$4*(1-Inputs!$B$5))),2))</f>
        <v>75753.68</v>
      </c>
    </row>
    <row r="859" customFormat="false" ht="15" hidden="true" customHeight="true" outlineLevel="0" collapsed="false">
      <c r="B859" s="34" t="n">
        <f aca="false">IF(28&gt;=Inputs!$B$7,0,ROUND(-FV(Inputs!$B$6/12,28*12,-(-PMT(Inputs!$B$6/12,Inputs!$B$7*12,(Inputs!$B$4*(1-Inputs!$B$5)))*12)/12,(Inputs!$B$4*(1-Inputs!$B$5))),2))</f>
        <v>52311.44</v>
      </c>
      <c r="C859" s="34" t="n">
        <f aca="false">IF(28&gt;=Inputs!$B$7,0,ROUND(-FV(Inputs!$B$6/12,28*12,-(-PMT(Inputs!$B$6/12,Inputs!$B$7*12,(Inputs!$B$4*(1-Inputs!$B$5)))*12)/12,(Inputs!$B$4*(1-Inputs!$B$5))),2))</f>
        <v>52311.44</v>
      </c>
      <c r="D859" s="34" t="n">
        <f aca="false">IF(28&gt;=Inputs!$B$7,0,ROUND(-FV(Inputs!$B$6/12,28*12,-(-PMT(Inputs!$B$6/12,Inputs!$B$7*12,(Inputs!$B$4*(1-Inputs!$B$5)))*12)/12,(Inputs!$B$4*(1-Inputs!$B$5))),2))</f>
        <v>52311.44</v>
      </c>
      <c r="E859" s="34" t="n">
        <f aca="false">IF(28&gt;=Inputs!$B$7,0,ROUND(-FV(Inputs!$B$6/12,28*12,-(-PMT(Inputs!$B$6/12,Inputs!$B$7*12,(Inputs!$B$4*(1-Inputs!$B$5)))*12)/12,(Inputs!$B$4*(1-Inputs!$B$5))),2))</f>
        <v>52311.44</v>
      </c>
      <c r="F859" s="34" t="n">
        <f aca="false">IF(28&gt;=Inputs!$B$7,0,ROUND(-FV(Inputs!$B$6/12,28*12,-(-PMT(Inputs!$B$6/12,Inputs!$B$7*12,(Inputs!$B$4*(1-Inputs!$B$5)))*12)/12,(Inputs!$B$4*(1-Inputs!$B$5))),2))</f>
        <v>52311.44</v>
      </c>
      <c r="G859" s="34" t="n">
        <f aca="false">IF(28&gt;=Inputs!$B$7,0,ROUND(-FV(Inputs!$B$6/12,28*12,-(-PMT(Inputs!$B$6/12,Inputs!$B$7*12,(Inputs!$B$4*(1-Inputs!$B$5)))*12)/12,(Inputs!$B$4*(1-Inputs!$B$5))),2))</f>
        <v>52311.44</v>
      </c>
    </row>
    <row r="860" customFormat="false" ht="15" hidden="true" customHeight="true" outlineLevel="0" collapsed="false">
      <c r="B860" s="34" t="n">
        <f aca="false">IF(29&gt;=Inputs!$B$7,0,ROUND(-FV(Inputs!$B$6/12,29*12,-(-PMT(Inputs!$B$6/12,Inputs!$B$7*12,(Inputs!$B$4*(1-Inputs!$B$5)))*12)/12,(Inputs!$B$4*(1-Inputs!$B$5))),2))</f>
        <v>27104.5</v>
      </c>
      <c r="C860" s="34" t="n">
        <f aca="false">IF(29&gt;=Inputs!$B$7,0,ROUND(-FV(Inputs!$B$6/12,29*12,-(-PMT(Inputs!$B$6/12,Inputs!$B$7*12,(Inputs!$B$4*(1-Inputs!$B$5)))*12)/12,(Inputs!$B$4*(1-Inputs!$B$5))),2))</f>
        <v>27104.5</v>
      </c>
      <c r="D860" s="34" t="n">
        <f aca="false">IF(29&gt;=Inputs!$B$7,0,ROUND(-FV(Inputs!$B$6/12,29*12,-(-PMT(Inputs!$B$6/12,Inputs!$B$7*12,(Inputs!$B$4*(1-Inputs!$B$5)))*12)/12,(Inputs!$B$4*(1-Inputs!$B$5))),2))</f>
        <v>27104.5</v>
      </c>
      <c r="E860" s="34" t="n">
        <f aca="false">IF(29&gt;=Inputs!$B$7,0,ROUND(-FV(Inputs!$B$6/12,29*12,-(-PMT(Inputs!$B$6/12,Inputs!$B$7*12,(Inputs!$B$4*(1-Inputs!$B$5)))*12)/12,(Inputs!$B$4*(1-Inputs!$B$5))),2))</f>
        <v>27104.5</v>
      </c>
      <c r="F860" s="34" t="n">
        <f aca="false">IF(29&gt;=Inputs!$B$7,0,ROUND(-FV(Inputs!$B$6/12,29*12,-(-PMT(Inputs!$B$6/12,Inputs!$B$7*12,(Inputs!$B$4*(1-Inputs!$B$5)))*12)/12,(Inputs!$B$4*(1-Inputs!$B$5))),2))</f>
        <v>27104.5</v>
      </c>
      <c r="G860" s="34" t="n">
        <f aca="false">IF(29&gt;=Inputs!$B$7,0,ROUND(-FV(Inputs!$B$6/12,29*12,-(-PMT(Inputs!$B$6/12,Inputs!$B$7*12,(Inputs!$B$4*(1-Inputs!$B$5)))*12)/12,(Inputs!$B$4*(1-Inputs!$B$5))),2))</f>
        <v>27104.5</v>
      </c>
    </row>
    <row r="861" customFormat="false" ht="15" hidden="true" customHeight="true" outlineLevel="0" collapsed="false">
      <c r="B861" s="34" t="n">
        <f aca="false">IF(30&gt;=Inputs!$B$7,0,ROUND(-FV(Inputs!$B$6/12,30*12,-(-PMT(Inputs!$B$6/12,Inputs!$B$7*12,(Inputs!$B$4*(1-Inputs!$B$5)))*12)/12,(Inputs!$B$4*(1-Inputs!$B$5))),2))</f>
        <v>0</v>
      </c>
      <c r="C861" s="34" t="n">
        <f aca="false">IF(30&gt;=Inputs!$B$7,0,ROUND(-FV(Inputs!$B$6/12,30*12,-(-PMT(Inputs!$B$6/12,Inputs!$B$7*12,(Inputs!$B$4*(1-Inputs!$B$5)))*12)/12,(Inputs!$B$4*(1-Inputs!$B$5))),2))</f>
        <v>0</v>
      </c>
      <c r="D861" s="34" t="n">
        <f aca="false">IF(30&gt;=Inputs!$B$7,0,ROUND(-FV(Inputs!$B$6/12,30*12,-(-PMT(Inputs!$B$6/12,Inputs!$B$7*12,(Inputs!$B$4*(1-Inputs!$B$5)))*12)/12,(Inputs!$B$4*(1-Inputs!$B$5))),2))</f>
        <v>0</v>
      </c>
      <c r="E861" s="34" t="n">
        <f aca="false">IF(30&gt;=Inputs!$B$7,0,ROUND(-FV(Inputs!$B$6/12,30*12,-(-PMT(Inputs!$B$6/12,Inputs!$B$7*12,(Inputs!$B$4*(1-Inputs!$B$5)))*12)/12,(Inputs!$B$4*(1-Inputs!$B$5))),2))</f>
        <v>0</v>
      </c>
      <c r="F861" s="34" t="n">
        <f aca="false">IF(30&gt;=Inputs!$B$7,0,ROUND(-FV(Inputs!$B$6/12,30*12,-(-PMT(Inputs!$B$6/12,Inputs!$B$7*12,(Inputs!$B$4*(1-Inputs!$B$5)))*12)/12,(Inputs!$B$4*(1-Inputs!$B$5))),2))</f>
        <v>0</v>
      </c>
      <c r="G861" s="34" t="n">
        <f aca="false">IF(30&gt;=Inputs!$B$7,0,ROUND(-FV(Inputs!$B$6/12,30*12,-(-PMT(Inputs!$B$6/12,Inputs!$B$7*12,(Inputs!$B$4*(1-Inputs!$B$5)))*12)/12,(Inputs!$B$4*(1-Inputs!$B$5))),2))</f>
        <v>0</v>
      </c>
    </row>
    <row r="862" customFormat="false" ht="15" hidden="true" customHeight="true" outlineLevel="0" collapsed="false"/>
    <row r="863" customFormat="false" ht="15" hidden="true" customHeight="true" outlineLevel="0" collapsed="false">
      <c r="A863" s="33" t="s">
        <v>93</v>
      </c>
      <c r="B863" s="34" t="n">
        <v>0</v>
      </c>
      <c r="C863" s="34" t="n">
        <v>0</v>
      </c>
      <c r="D863" s="34" t="n">
        <v>0</v>
      </c>
      <c r="E863" s="34" t="n">
        <v>0</v>
      </c>
      <c r="F863" s="34" t="n">
        <v>0</v>
      </c>
      <c r="G863" s="34" t="n">
        <v>0</v>
      </c>
    </row>
    <row r="864" customFormat="false" ht="15" hidden="true" customHeight="true" outlineLevel="0" collapsed="false">
      <c r="B864" s="34" t="n">
        <f aca="false">IF(1&gt;Inputs!$B$7,0,(-PMT(Inputs!$B$6/12,Inputs!$B$7*12,(Inputs!$B$4*(1-Inputs!$B$5)))*12))+B799*Inputs!$B$9+Inputs!$B$10*(1+Inputs!$B$15)^0+Inputs!$B$11*12*(1+Inputs!$B$15)^0+B799*Inputs!$B$12</f>
        <v>39396.2670698949</v>
      </c>
      <c r="C864" s="34" t="n">
        <f aca="false">IF(1&gt;Inputs!$B$7,0,(-PMT(Inputs!$B$6/12,Inputs!$B$7*12,(Inputs!$B$4*(1-Inputs!$B$5)))*12))+C799*Inputs!$B$9+Inputs!$B$10*(1+Inputs!$B$15)^0+Inputs!$B$11*12*(1+Inputs!$B$15)^0+C799*Inputs!$B$12</f>
        <v>39396.2670698949</v>
      </c>
      <c r="D864" s="34" t="n">
        <f aca="false">IF(1&gt;Inputs!$B$7,0,(-PMT(Inputs!$B$6/12,Inputs!$B$7*12,(Inputs!$B$4*(1-Inputs!$B$5)))*12))+D799*Inputs!$B$9+Inputs!$B$10*(1+Inputs!$B$15)^0+Inputs!$B$11*12*(1+Inputs!$B$15)^0+D799*Inputs!$B$12</f>
        <v>39396.2670698949</v>
      </c>
      <c r="E864" s="34" t="n">
        <f aca="false">IF(1&gt;Inputs!$B$7,0,(-PMT(Inputs!$B$6/12,Inputs!$B$7*12,(Inputs!$B$4*(1-Inputs!$B$5)))*12))+E799*Inputs!$B$9+Inputs!$B$10*(1+Inputs!$B$15)^0+Inputs!$B$11*12*(1+Inputs!$B$15)^0+E799*Inputs!$B$12</f>
        <v>39396.2670698949</v>
      </c>
      <c r="F864" s="34" t="n">
        <f aca="false">IF(1&gt;Inputs!$B$7,0,(-PMT(Inputs!$B$6/12,Inputs!$B$7*12,(Inputs!$B$4*(1-Inputs!$B$5)))*12))+F799*Inputs!$B$9+Inputs!$B$10*(1+Inputs!$B$15)^0+Inputs!$B$11*12*(1+Inputs!$B$15)^0+F799*Inputs!$B$12</f>
        <v>39396.2670698949</v>
      </c>
      <c r="G864" s="34" t="n">
        <f aca="false">IF(1&gt;Inputs!$B$7,0,(-PMT(Inputs!$B$6/12,Inputs!$B$7*12,(Inputs!$B$4*(1-Inputs!$B$5)))*12))+G799*Inputs!$B$9+Inputs!$B$10*(1+Inputs!$B$15)^0+Inputs!$B$11*12*(1+Inputs!$B$15)^0+G799*Inputs!$B$12</f>
        <v>39396.2670698949</v>
      </c>
    </row>
    <row r="865" customFormat="false" ht="15" hidden="true" customHeight="true" outlineLevel="0" collapsed="false">
      <c r="B865" s="34" t="n">
        <f aca="false">IF(2&gt;Inputs!$B$7,0,(-PMT(Inputs!$B$6/12,Inputs!$B$7*12,(Inputs!$B$4*(1-Inputs!$B$5)))*12))+B800*Inputs!$B$9+Inputs!$B$10*(1+Inputs!$B$15)^1+Inputs!$B$11*12*(1+Inputs!$B$15)^1+B800*Inputs!$B$12</f>
        <v>39732.6000698949</v>
      </c>
      <c r="C865" s="34" t="n">
        <f aca="false">IF(2&gt;Inputs!$B$7,0,(-PMT(Inputs!$B$6/12,Inputs!$B$7*12,(Inputs!$B$4*(1-Inputs!$B$5)))*12))+C800*Inputs!$B$9+Inputs!$B$10*(1+Inputs!$B$15)^1+Inputs!$B$11*12*(1+Inputs!$B$15)^1+C800*Inputs!$B$12</f>
        <v>39732.6000698949</v>
      </c>
      <c r="D865" s="34" t="n">
        <f aca="false">IF(2&gt;Inputs!$B$7,0,(-PMT(Inputs!$B$6/12,Inputs!$B$7*12,(Inputs!$B$4*(1-Inputs!$B$5)))*12))+D800*Inputs!$B$9+Inputs!$B$10*(1+Inputs!$B$15)^1+Inputs!$B$11*12*(1+Inputs!$B$15)^1+D800*Inputs!$B$12</f>
        <v>39732.6000698949</v>
      </c>
      <c r="E865" s="34" t="n">
        <f aca="false">IF(2&gt;Inputs!$B$7,0,(-PMT(Inputs!$B$6/12,Inputs!$B$7*12,(Inputs!$B$4*(1-Inputs!$B$5)))*12))+E800*Inputs!$B$9+Inputs!$B$10*(1+Inputs!$B$15)^1+Inputs!$B$11*12*(1+Inputs!$B$15)^1+E800*Inputs!$B$12</f>
        <v>39732.6000698949</v>
      </c>
      <c r="F865" s="34" t="n">
        <f aca="false">IF(2&gt;Inputs!$B$7,0,(-PMT(Inputs!$B$6/12,Inputs!$B$7*12,(Inputs!$B$4*(1-Inputs!$B$5)))*12))+F800*Inputs!$B$9+Inputs!$B$10*(1+Inputs!$B$15)^1+Inputs!$B$11*12*(1+Inputs!$B$15)^1+F800*Inputs!$B$12</f>
        <v>39732.6000698949</v>
      </c>
      <c r="G865" s="34" t="n">
        <f aca="false">IF(2&gt;Inputs!$B$7,0,(-PMT(Inputs!$B$6/12,Inputs!$B$7*12,(Inputs!$B$4*(1-Inputs!$B$5)))*12))+G800*Inputs!$B$9+Inputs!$B$10*(1+Inputs!$B$15)^1+Inputs!$B$11*12*(1+Inputs!$B$15)^1+G800*Inputs!$B$12</f>
        <v>39732.6000698949</v>
      </c>
    </row>
    <row r="866" customFormat="false" ht="15" hidden="true" customHeight="true" outlineLevel="0" collapsed="false">
      <c r="B866" s="34" t="n">
        <f aca="false">IF(3&gt;Inputs!$B$7,0,(-PMT(Inputs!$B$6/12,Inputs!$B$7*12,(Inputs!$B$4*(1-Inputs!$B$5)))*12))+B801*Inputs!$B$9+Inputs!$B$10*(1+Inputs!$B$15)^2+Inputs!$B$11*12*(1+Inputs!$B$15)^2+B801*Inputs!$B$12</f>
        <v>40079.0230598949</v>
      </c>
      <c r="C866" s="34" t="n">
        <f aca="false">IF(3&gt;Inputs!$B$7,0,(-PMT(Inputs!$B$6/12,Inputs!$B$7*12,(Inputs!$B$4*(1-Inputs!$B$5)))*12))+C801*Inputs!$B$9+Inputs!$B$10*(1+Inputs!$B$15)^2+Inputs!$B$11*12*(1+Inputs!$B$15)^2+C801*Inputs!$B$12</f>
        <v>40079.0230598949</v>
      </c>
      <c r="D866" s="34" t="n">
        <f aca="false">IF(3&gt;Inputs!$B$7,0,(-PMT(Inputs!$B$6/12,Inputs!$B$7*12,(Inputs!$B$4*(1-Inputs!$B$5)))*12))+D801*Inputs!$B$9+Inputs!$B$10*(1+Inputs!$B$15)^2+Inputs!$B$11*12*(1+Inputs!$B$15)^2+D801*Inputs!$B$12</f>
        <v>40079.0230598949</v>
      </c>
      <c r="E866" s="34" t="n">
        <f aca="false">IF(3&gt;Inputs!$B$7,0,(-PMT(Inputs!$B$6/12,Inputs!$B$7*12,(Inputs!$B$4*(1-Inputs!$B$5)))*12))+E801*Inputs!$B$9+Inputs!$B$10*(1+Inputs!$B$15)^2+Inputs!$B$11*12*(1+Inputs!$B$15)^2+E801*Inputs!$B$12</f>
        <v>40079.0230598949</v>
      </c>
      <c r="F866" s="34" t="n">
        <f aca="false">IF(3&gt;Inputs!$B$7,0,(-PMT(Inputs!$B$6/12,Inputs!$B$7*12,(Inputs!$B$4*(1-Inputs!$B$5)))*12))+F801*Inputs!$B$9+Inputs!$B$10*(1+Inputs!$B$15)^2+Inputs!$B$11*12*(1+Inputs!$B$15)^2+F801*Inputs!$B$12</f>
        <v>40079.0230598949</v>
      </c>
      <c r="G866" s="34" t="n">
        <f aca="false">IF(3&gt;Inputs!$B$7,0,(-PMT(Inputs!$B$6/12,Inputs!$B$7*12,(Inputs!$B$4*(1-Inputs!$B$5)))*12))+G801*Inputs!$B$9+Inputs!$B$10*(1+Inputs!$B$15)^2+Inputs!$B$11*12*(1+Inputs!$B$15)^2+G801*Inputs!$B$12</f>
        <v>40079.0230598949</v>
      </c>
    </row>
    <row r="867" customFormat="false" ht="15" hidden="true" customHeight="true" outlineLevel="0" collapsed="false">
      <c r="B867" s="34" t="n">
        <f aca="false">IF(4&gt;Inputs!$B$7,0,(-PMT(Inputs!$B$6/12,Inputs!$B$7*12,(Inputs!$B$4*(1-Inputs!$B$5)))*12))+B802*Inputs!$B$9+Inputs!$B$10*(1+Inputs!$B$15)^3+Inputs!$B$11*12*(1+Inputs!$B$15)^3+B802*Inputs!$B$12</f>
        <v>40435.8387395949</v>
      </c>
      <c r="C867" s="34" t="n">
        <f aca="false">IF(4&gt;Inputs!$B$7,0,(-PMT(Inputs!$B$6/12,Inputs!$B$7*12,(Inputs!$B$4*(1-Inputs!$B$5)))*12))+C802*Inputs!$B$9+Inputs!$B$10*(1+Inputs!$B$15)^3+Inputs!$B$11*12*(1+Inputs!$B$15)^3+C802*Inputs!$B$12</f>
        <v>40435.8387395949</v>
      </c>
      <c r="D867" s="34" t="n">
        <f aca="false">IF(4&gt;Inputs!$B$7,0,(-PMT(Inputs!$B$6/12,Inputs!$B$7*12,(Inputs!$B$4*(1-Inputs!$B$5)))*12))+D802*Inputs!$B$9+Inputs!$B$10*(1+Inputs!$B$15)^3+Inputs!$B$11*12*(1+Inputs!$B$15)^3+D802*Inputs!$B$12</f>
        <v>40435.8387395949</v>
      </c>
      <c r="E867" s="34" t="n">
        <f aca="false">IF(4&gt;Inputs!$B$7,0,(-PMT(Inputs!$B$6/12,Inputs!$B$7*12,(Inputs!$B$4*(1-Inputs!$B$5)))*12))+E802*Inputs!$B$9+Inputs!$B$10*(1+Inputs!$B$15)^3+Inputs!$B$11*12*(1+Inputs!$B$15)^3+E802*Inputs!$B$12</f>
        <v>40435.8387395949</v>
      </c>
      <c r="F867" s="34" t="n">
        <f aca="false">IF(4&gt;Inputs!$B$7,0,(-PMT(Inputs!$B$6/12,Inputs!$B$7*12,(Inputs!$B$4*(1-Inputs!$B$5)))*12))+F802*Inputs!$B$9+Inputs!$B$10*(1+Inputs!$B$15)^3+Inputs!$B$11*12*(1+Inputs!$B$15)^3+F802*Inputs!$B$12</f>
        <v>40435.8387395949</v>
      </c>
      <c r="G867" s="34" t="n">
        <f aca="false">IF(4&gt;Inputs!$B$7,0,(-PMT(Inputs!$B$6/12,Inputs!$B$7*12,(Inputs!$B$4*(1-Inputs!$B$5)))*12))+G802*Inputs!$B$9+Inputs!$B$10*(1+Inputs!$B$15)^3+Inputs!$B$11*12*(1+Inputs!$B$15)^3+G802*Inputs!$B$12</f>
        <v>40435.8387395949</v>
      </c>
    </row>
    <row r="868" customFormat="false" ht="15" hidden="true" customHeight="true" outlineLevel="0" collapsed="false">
      <c r="B868" s="34" t="n">
        <f aca="false">IF(5&gt;Inputs!$B$7,0,(-PMT(Inputs!$B$6/12,Inputs!$B$7*12,(Inputs!$B$4*(1-Inputs!$B$5)))*12))+B803*Inputs!$B$9+Inputs!$B$10*(1+Inputs!$B$15)^4+Inputs!$B$11*12*(1+Inputs!$B$15)^4+B803*Inputs!$B$12</f>
        <v>40803.3588896859</v>
      </c>
      <c r="C868" s="34" t="n">
        <f aca="false">IF(5&gt;Inputs!$B$7,0,(-PMT(Inputs!$B$6/12,Inputs!$B$7*12,(Inputs!$B$4*(1-Inputs!$B$5)))*12))+C803*Inputs!$B$9+Inputs!$B$10*(1+Inputs!$B$15)^4+Inputs!$B$11*12*(1+Inputs!$B$15)^4+C803*Inputs!$B$12</f>
        <v>40803.3588896859</v>
      </c>
      <c r="D868" s="34" t="n">
        <f aca="false">IF(5&gt;Inputs!$B$7,0,(-PMT(Inputs!$B$6/12,Inputs!$B$7*12,(Inputs!$B$4*(1-Inputs!$B$5)))*12))+D803*Inputs!$B$9+Inputs!$B$10*(1+Inputs!$B$15)^4+Inputs!$B$11*12*(1+Inputs!$B$15)^4+D803*Inputs!$B$12</f>
        <v>40803.3588896859</v>
      </c>
      <c r="E868" s="34" t="n">
        <f aca="false">IF(5&gt;Inputs!$B$7,0,(-PMT(Inputs!$B$6/12,Inputs!$B$7*12,(Inputs!$B$4*(1-Inputs!$B$5)))*12))+E803*Inputs!$B$9+Inputs!$B$10*(1+Inputs!$B$15)^4+Inputs!$B$11*12*(1+Inputs!$B$15)^4+E803*Inputs!$B$12</f>
        <v>40803.3588896859</v>
      </c>
      <c r="F868" s="34" t="n">
        <f aca="false">IF(5&gt;Inputs!$B$7,0,(-PMT(Inputs!$B$6/12,Inputs!$B$7*12,(Inputs!$B$4*(1-Inputs!$B$5)))*12))+F803*Inputs!$B$9+Inputs!$B$10*(1+Inputs!$B$15)^4+Inputs!$B$11*12*(1+Inputs!$B$15)^4+F803*Inputs!$B$12</f>
        <v>40803.3588896859</v>
      </c>
      <c r="G868" s="34" t="n">
        <f aca="false">IF(5&gt;Inputs!$B$7,0,(-PMT(Inputs!$B$6/12,Inputs!$B$7*12,(Inputs!$B$4*(1-Inputs!$B$5)))*12))+G803*Inputs!$B$9+Inputs!$B$10*(1+Inputs!$B$15)^4+Inputs!$B$11*12*(1+Inputs!$B$15)^4+G803*Inputs!$B$12</f>
        <v>40803.3588896859</v>
      </c>
    </row>
    <row r="869" customFormat="false" ht="15" hidden="true" customHeight="true" outlineLevel="0" collapsed="false">
      <c r="B869" s="34" t="n">
        <f aca="false">IF(6&gt;Inputs!$B$7,0,(-PMT(Inputs!$B$6/12,Inputs!$B$7*12,(Inputs!$B$4*(1-Inputs!$B$5)))*12))+B804*Inputs!$B$9+Inputs!$B$10*(1+Inputs!$B$15)^5+Inputs!$B$11*12*(1+Inputs!$B$15)^5+B804*Inputs!$B$12</f>
        <v>41181.9046442796</v>
      </c>
      <c r="C869" s="34" t="n">
        <f aca="false">IF(6&gt;Inputs!$B$7,0,(-PMT(Inputs!$B$6/12,Inputs!$B$7*12,(Inputs!$B$4*(1-Inputs!$B$5)))*12))+C804*Inputs!$B$9+Inputs!$B$10*(1+Inputs!$B$15)^5+Inputs!$B$11*12*(1+Inputs!$B$15)^5+C804*Inputs!$B$12</f>
        <v>41181.9046442796</v>
      </c>
      <c r="D869" s="34" t="n">
        <f aca="false">IF(6&gt;Inputs!$B$7,0,(-PMT(Inputs!$B$6/12,Inputs!$B$7*12,(Inputs!$B$4*(1-Inputs!$B$5)))*12))+D804*Inputs!$B$9+Inputs!$B$10*(1+Inputs!$B$15)^5+Inputs!$B$11*12*(1+Inputs!$B$15)^5+D804*Inputs!$B$12</f>
        <v>41181.9046442796</v>
      </c>
      <c r="E869" s="34" t="n">
        <f aca="false">IF(6&gt;Inputs!$B$7,0,(-PMT(Inputs!$B$6/12,Inputs!$B$7*12,(Inputs!$B$4*(1-Inputs!$B$5)))*12))+E804*Inputs!$B$9+Inputs!$B$10*(1+Inputs!$B$15)^5+Inputs!$B$11*12*(1+Inputs!$B$15)^5+E804*Inputs!$B$12</f>
        <v>41181.9046442796</v>
      </c>
      <c r="F869" s="34" t="n">
        <f aca="false">IF(6&gt;Inputs!$B$7,0,(-PMT(Inputs!$B$6/12,Inputs!$B$7*12,(Inputs!$B$4*(1-Inputs!$B$5)))*12))+F804*Inputs!$B$9+Inputs!$B$10*(1+Inputs!$B$15)^5+Inputs!$B$11*12*(1+Inputs!$B$15)^5+F804*Inputs!$B$12</f>
        <v>41181.9046442796</v>
      </c>
      <c r="G869" s="34" t="n">
        <f aca="false">IF(6&gt;Inputs!$B$7,0,(-PMT(Inputs!$B$6/12,Inputs!$B$7*12,(Inputs!$B$4*(1-Inputs!$B$5)))*12))+G804*Inputs!$B$9+Inputs!$B$10*(1+Inputs!$B$15)^5+Inputs!$B$11*12*(1+Inputs!$B$15)^5+G804*Inputs!$B$12</f>
        <v>41181.9046442796</v>
      </c>
    </row>
    <row r="870" customFormat="false" ht="15" hidden="true" customHeight="true" outlineLevel="0" collapsed="false">
      <c r="B870" s="34" t="n">
        <f aca="false">IF(7&gt;Inputs!$B$7,0,(-PMT(Inputs!$B$6/12,Inputs!$B$7*12,(Inputs!$B$4*(1-Inputs!$B$5)))*12))+B805*Inputs!$B$9+Inputs!$B$10*(1+Inputs!$B$15)^6+Inputs!$B$11*12*(1+Inputs!$B$15)^6+B805*Inputs!$B$12</f>
        <v>41571.8067715112</v>
      </c>
      <c r="C870" s="34" t="n">
        <f aca="false">IF(7&gt;Inputs!$B$7,0,(-PMT(Inputs!$B$6/12,Inputs!$B$7*12,(Inputs!$B$4*(1-Inputs!$B$5)))*12))+C805*Inputs!$B$9+Inputs!$B$10*(1+Inputs!$B$15)^6+Inputs!$B$11*12*(1+Inputs!$B$15)^6+C805*Inputs!$B$12</f>
        <v>41571.8067715112</v>
      </c>
      <c r="D870" s="34" t="n">
        <f aca="false">IF(7&gt;Inputs!$B$7,0,(-PMT(Inputs!$B$6/12,Inputs!$B$7*12,(Inputs!$B$4*(1-Inputs!$B$5)))*12))+D805*Inputs!$B$9+Inputs!$B$10*(1+Inputs!$B$15)^6+Inputs!$B$11*12*(1+Inputs!$B$15)^6+D805*Inputs!$B$12</f>
        <v>41571.8067715112</v>
      </c>
      <c r="E870" s="34" t="n">
        <f aca="false">IF(7&gt;Inputs!$B$7,0,(-PMT(Inputs!$B$6/12,Inputs!$B$7*12,(Inputs!$B$4*(1-Inputs!$B$5)))*12))+E805*Inputs!$B$9+Inputs!$B$10*(1+Inputs!$B$15)^6+Inputs!$B$11*12*(1+Inputs!$B$15)^6+E805*Inputs!$B$12</f>
        <v>41571.8067715112</v>
      </c>
      <c r="F870" s="34" t="n">
        <f aca="false">IF(7&gt;Inputs!$B$7,0,(-PMT(Inputs!$B$6/12,Inputs!$B$7*12,(Inputs!$B$4*(1-Inputs!$B$5)))*12))+F805*Inputs!$B$9+Inputs!$B$10*(1+Inputs!$B$15)^6+Inputs!$B$11*12*(1+Inputs!$B$15)^6+F805*Inputs!$B$12</f>
        <v>41571.8067715112</v>
      </c>
      <c r="G870" s="34" t="n">
        <f aca="false">IF(7&gt;Inputs!$B$7,0,(-PMT(Inputs!$B$6/12,Inputs!$B$7*12,(Inputs!$B$4*(1-Inputs!$B$5)))*12))+G805*Inputs!$B$9+Inputs!$B$10*(1+Inputs!$B$15)^6+Inputs!$B$11*12*(1+Inputs!$B$15)^6+G805*Inputs!$B$12</f>
        <v>41571.8067715112</v>
      </c>
    </row>
    <row r="871" customFormat="false" ht="15" hidden="true" customHeight="true" outlineLevel="0" collapsed="false">
      <c r="B871" s="34" t="n">
        <f aca="false">IF(8&gt;Inputs!$B$7,0,(-PMT(Inputs!$B$6/12,Inputs!$B$7*12,(Inputs!$B$4*(1-Inputs!$B$5)))*12))+B806*Inputs!$B$9+Inputs!$B$10*(1+Inputs!$B$15)^7+Inputs!$B$11*12*(1+Inputs!$B$15)^7+B806*Inputs!$B$12</f>
        <v>41973.4059625597</v>
      </c>
      <c r="C871" s="34" t="n">
        <f aca="false">IF(8&gt;Inputs!$B$7,0,(-PMT(Inputs!$B$6/12,Inputs!$B$7*12,(Inputs!$B$4*(1-Inputs!$B$5)))*12))+C806*Inputs!$B$9+Inputs!$B$10*(1+Inputs!$B$15)^7+Inputs!$B$11*12*(1+Inputs!$B$15)^7+C806*Inputs!$B$12</f>
        <v>41973.4059625597</v>
      </c>
      <c r="D871" s="34" t="n">
        <f aca="false">IF(8&gt;Inputs!$B$7,0,(-PMT(Inputs!$B$6/12,Inputs!$B$7*12,(Inputs!$B$4*(1-Inputs!$B$5)))*12))+D806*Inputs!$B$9+Inputs!$B$10*(1+Inputs!$B$15)^7+Inputs!$B$11*12*(1+Inputs!$B$15)^7+D806*Inputs!$B$12</f>
        <v>41973.4059625597</v>
      </c>
      <c r="E871" s="34" t="n">
        <f aca="false">IF(8&gt;Inputs!$B$7,0,(-PMT(Inputs!$B$6/12,Inputs!$B$7*12,(Inputs!$B$4*(1-Inputs!$B$5)))*12))+E806*Inputs!$B$9+Inputs!$B$10*(1+Inputs!$B$15)^7+Inputs!$B$11*12*(1+Inputs!$B$15)^7+E806*Inputs!$B$12</f>
        <v>41973.4059625597</v>
      </c>
      <c r="F871" s="34" t="n">
        <f aca="false">IF(8&gt;Inputs!$B$7,0,(-PMT(Inputs!$B$6/12,Inputs!$B$7*12,(Inputs!$B$4*(1-Inputs!$B$5)))*12))+F806*Inputs!$B$9+Inputs!$B$10*(1+Inputs!$B$15)^7+Inputs!$B$11*12*(1+Inputs!$B$15)^7+F806*Inputs!$B$12</f>
        <v>41973.4059625597</v>
      </c>
      <c r="G871" s="34" t="n">
        <f aca="false">IF(8&gt;Inputs!$B$7,0,(-PMT(Inputs!$B$6/12,Inputs!$B$7*12,(Inputs!$B$4*(1-Inputs!$B$5)))*12))+G806*Inputs!$B$9+Inputs!$B$10*(1+Inputs!$B$15)^7+Inputs!$B$11*12*(1+Inputs!$B$15)^7+G806*Inputs!$B$12</f>
        <v>41973.4059625597</v>
      </c>
    </row>
    <row r="872" customFormat="false" ht="15" hidden="true" customHeight="true" outlineLevel="0" collapsed="false">
      <c r="B872" s="34" t="n">
        <f aca="false">IF(9&gt;Inputs!$B$7,0,(-PMT(Inputs!$B$6/12,Inputs!$B$7*12,(Inputs!$B$4*(1-Inputs!$B$5)))*12))+B807*Inputs!$B$9+Inputs!$B$10*(1+Inputs!$B$15)^8+Inputs!$B$11*12*(1+Inputs!$B$15)^8+B807*Inputs!$B$12</f>
        <v>42387.0531293396</v>
      </c>
      <c r="C872" s="34" t="n">
        <f aca="false">IF(9&gt;Inputs!$B$7,0,(-PMT(Inputs!$B$6/12,Inputs!$B$7*12,(Inputs!$B$4*(1-Inputs!$B$5)))*12))+C807*Inputs!$B$9+Inputs!$B$10*(1+Inputs!$B$15)^8+Inputs!$B$11*12*(1+Inputs!$B$15)^8+C807*Inputs!$B$12</f>
        <v>42387.0531293396</v>
      </c>
      <c r="D872" s="34" t="n">
        <f aca="false">IF(9&gt;Inputs!$B$7,0,(-PMT(Inputs!$B$6/12,Inputs!$B$7*12,(Inputs!$B$4*(1-Inputs!$B$5)))*12))+D807*Inputs!$B$9+Inputs!$B$10*(1+Inputs!$B$15)^8+Inputs!$B$11*12*(1+Inputs!$B$15)^8+D807*Inputs!$B$12</f>
        <v>42387.0531293396</v>
      </c>
      <c r="E872" s="34" t="n">
        <f aca="false">IF(9&gt;Inputs!$B$7,0,(-PMT(Inputs!$B$6/12,Inputs!$B$7*12,(Inputs!$B$4*(1-Inputs!$B$5)))*12))+E807*Inputs!$B$9+Inputs!$B$10*(1+Inputs!$B$15)^8+Inputs!$B$11*12*(1+Inputs!$B$15)^8+E807*Inputs!$B$12</f>
        <v>42387.0531293396</v>
      </c>
      <c r="F872" s="34" t="n">
        <f aca="false">IF(9&gt;Inputs!$B$7,0,(-PMT(Inputs!$B$6/12,Inputs!$B$7*12,(Inputs!$B$4*(1-Inputs!$B$5)))*12))+F807*Inputs!$B$9+Inputs!$B$10*(1+Inputs!$B$15)^8+Inputs!$B$11*12*(1+Inputs!$B$15)^8+F807*Inputs!$B$12</f>
        <v>42387.0531293396</v>
      </c>
      <c r="G872" s="34" t="n">
        <f aca="false">IF(9&gt;Inputs!$B$7,0,(-PMT(Inputs!$B$6/12,Inputs!$B$7*12,(Inputs!$B$4*(1-Inputs!$B$5)))*12))+G807*Inputs!$B$9+Inputs!$B$10*(1+Inputs!$B$15)^8+Inputs!$B$11*12*(1+Inputs!$B$15)^8+G807*Inputs!$B$12</f>
        <v>42387.0531293396</v>
      </c>
    </row>
    <row r="873" customFormat="false" ht="15" hidden="true" customHeight="true" outlineLevel="0" collapsed="false">
      <c r="B873" s="34" t="n">
        <f aca="false">IF(10&gt;Inputs!$B$7,0,(-PMT(Inputs!$B$6/12,Inputs!$B$7*12,(Inputs!$B$4*(1-Inputs!$B$5)))*12))+B808*Inputs!$B$9+Inputs!$B$10*(1+Inputs!$B$15)^9+Inputs!$B$11*12*(1+Inputs!$B$15)^9+B808*Inputs!$B$12</f>
        <v>42813.109711123</v>
      </c>
      <c r="C873" s="34" t="n">
        <f aca="false">IF(10&gt;Inputs!$B$7,0,(-PMT(Inputs!$B$6/12,Inputs!$B$7*12,(Inputs!$B$4*(1-Inputs!$B$5)))*12))+C808*Inputs!$B$9+Inputs!$B$10*(1+Inputs!$B$15)^9+Inputs!$B$11*12*(1+Inputs!$B$15)^9+C808*Inputs!$B$12</f>
        <v>42813.109711123</v>
      </c>
      <c r="D873" s="34" t="n">
        <f aca="false">IF(10&gt;Inputs!$B$7,0,(-PMT(Inputs!$B$6/12,Inputs!$B$7*12,(Inputs!$B$4*(1-Inputs!$B$5)))*12))+D808*Inputs!$B$9+Inputs!$B$10*(1+Inputs!$B$15)^9+Inputs!$B$11*12*(1+Inputs!$B$15)^9+D808*Inputs!$B$12</f>
        <v>42813.109711123</v>
      </c>
      <c r="E873" s="34" t="n">
        <f aca="false">IF(10&gt;Inputs!$B$7,0,(-PMT(Inputs!$B$6/12,Inputs!$B$7*12,(Inputs!$B$4*(1-Inputs!$B$5)))*12))+E808*Inputs!$B$9+Inputs!$B$10*(1+Inputs!$B$15)^9+Inputs!$B$11*12*(1+Inputs!$B$15)^9+E808*Inputs!$B$12</f>
        <v>42813.109711123</v>
      </c>
      <c r="F873" s="34" t="n">
        <f aca="false">IF(10&gt;Inputs!$B$7,0,(-PMT(Inputs!$B$6/12,Inputs!$B$7*12,(Inputs!$B$4*(1-Inputs!$B$5)))*12))+F808*Inputs!$B$9+Inputs!$B$10*(1+Inputs!$B$15)^9+Inputs!$B$11*12*(1+Inputs!$B$15)^9+F808*Inputs!$B$12</f>
        <v>42813.109711123</v>
      </c>
      <c r="G873" s="34" t="n">
        <f aca="false">IF(10&gt;Inputs!$B$7,0,(-PMT(Inputs!$B$6/12,Inputs!$B$7*12,(Inputs!$B$4*(1-Inputs!$B$5)))*12))+G808*Inputs!$B$9+Inputs!$B$10*(1+Inputs!$B$15)^9+Inputs!$B$11*12*(1+Inputs!$B$15)^9+G808*Inputs!$B$12</f>
        <v>42813.109711123</v>
      </c>
    </row>
    <row r="874" customFormat="false" ht="15" hidden="true" customHeight="true" outlineLevel="0" collapsed="false">
      <c r="B874" s="34" t="n">
        <f aca="false">IF(11&gt;Inputs!$B$7,0,(-PMT(Inputs!$B$6/12,Inputs!$B$7*12,(Inputs!$B$4*(1-Inputs!$B$5)))*12))+B809*Inputs!$B$9+Inputs!$B$10*(1+Inputs!$B$15)^10+Inputs!$B$11*12*(1+Inputs!$B$15)^10+B809*Inputs!$B$12</f>
        <v>43251.9479903598</v>
      </c>
      <c r="C874" s="34" t="n">
        <f aca="false">IF(11&gt;Inputs!$B$7,0,(-PMT(Inputs!$B$6/12,Inputs!$B$7*12,(Inputs!$B$4*(1-Inputs!$B$5)))*12))+C809*Inputs!$B$9+Inputs!$B$10*(1+Inputs!$B$15)^10+Inputs!$B$11*12*(1+Inputs!$B$15)^10+C809*Inputs!$B$12</f>
        <v>43251.9479903598</v>
      </c>
      <c r="D874" s="34" t="n">
        <f aca="false">IF(11&gt;Inputs!$B$7,0,(-PMT(Inputs!$B$6/12,Inputs!$B$7*12,(Inputs!$B$4*(1-Inputs!$B$5)))*12))+D809*Inputs!$B$9+Inputs!$B$10*(1+Inputs!$B$15)^10+Inputs!$B$11*12*(1+Inputs!$B$15)^10+D809*Inputs!$B$12</f>
        <v>43251.9479903598</v>
      </c>
      <c r="E874" s="34" t="n">
        <f aca="false">IF(11&gt;Inputs!$B$7,0,(-PMT(Inputs!$B$6/12,Inputs!$B$7*12,(Inputs!$B$4*(1-Inputs!$B$5)))*12))+E809*Inputs!$B$9+Inputs!$B$10*(1+Inputs!$B$15)^10+Inputs!$B$11*12*(1+Inputs!$B$15)^10+E809*Inputs!$B$12</f>
        <v>43251.9479903598</v>
      </c>
      <c r="F874" s="34" t="n">
        <f aca="false">IF(11&gt;Inputs!$B$7,0,(-PMT(Inputs!$B$6/12,Inputs!$B$7*12,(Inputs!$B$4*(1-Inputs!$B$5)))*12))+F809*Inputs!$B$9+Inputs!$B$10*(1+Inputs!$B$15)^10+Inputs!$B$11*12*(1+Inputs!$B$15)^10+F809*Inputs!$B$12</f>
        <v>43251.9479903598</v>
      </c>
      <c r="G874" s="34" t="n">
        <f aca="false">IF(11&gt;Inputs!$B$7,0,(-PMT(Inputs!$B$6/12,Inputs!$B$7*12,(Inputs!$B$4*(1-Inputs!$B$5)))*12))+G809*Inputs!$B$9+Inputs!$B$10*(1+Inputs!$B$15)^10+Inputs!$B$11*12*(1+Inputs!$B$15)^10+G809*Inputs!$B$12</f>
        <v>43251.9479903598</v>
      </c>
    </row>
    <row r="875" customFormat="false" ht="15" hidden="true" customHeight="true" outlineLevel="0" collapsed="false">
      <c r="B875" s="34" t="n">
        <f aca="false">IF(12&gt;Inputs!$B$7,0,(-PMT(Inputs!$B$6/12,Inputs!$B$7*12,(Inputs!$B$4*(1-Inputs!$B$5)))*12))+B810*Inputs!$B$9+Inputs!$B$10*(1+Inputs!$B$15)^11+Inputs!$B$11*12*(1+Inputs!$B$15)^11+B810*Inputs!$B$12</f>
        <v>43703.9514179737</v>
      </c>
      <c r="C875" s="34" t="n">
        <f aca="false">IF(12&gt;Inputs!$B$7,0,(-PMT(Inputs!$B$6/12,Inputs!$B$7*12,(Inputs!$B$4*(1-Inputs!$B$5)))*12))+C810*Inputs!$B$9+Inputs!$B$10*(1+Inputs!$B$15)^11+Inputs!$B$11*12*(1+Inputs!$B$15)^11+C810*Inputs!$B$12</f>
        <v>43703.9514179737</v>
      </c>
      <c r="D875" s="34" t="n">
        <f aca="false">IF(12&gt;Inputs!$B$7,0,(-PMT(Inputs!$B$6/12,Inputs!$B$7*12,(Inputs!$B$4*(1-Inputs!$B$5)))*12))+D810*Inputs!$B$9+Inputs!$B$10*(1+Inputs!$B$15)^11+Inputs!$B$11*12*(1+Inputs!$B$15)^11+D810*Inputs!$B$12</f>
        <v>43703.9514179737</v>
      </c>
      <c r="E875" s="34" t="n">
        <f aca="false">IF(12&gt;Inputs!$B$7,0,(-PMT(Inputs!$B$6/12,Inputs!$B$7*12,(Inputs!$B$4*(1-Inputs!$B$5)))*12))+E810*Inputs!$B$9+Inputs!$B$10*(1+Inputs!$B$15)^11+Inputs!$B$11*12*(1+Inputs!$B$15)^11+E810*Inputs!$B$12</f>
        <v>43703.9514179737</v>
      </c>
      <c r="F875" s="34" t="n">
        <f aca="false">IF(12&gt;Inputs!$B$7,0,(-PMT(Inputs!$B$6/12,Inputs!$B$7*12,(Inputs!$B$4*(1-Inputs!$B$5)))*12))+F810*Inputs!$B$9+Inputs!$B$10*(1+Inputs!$B$15)^11+Inputs!$B$11*12*(1+Inputs!$B$15)^11+F810*Inputs!$B$12</f>
        <v>43703.9514179737</v>
      </c>
      <c r="G875" s="34" t="n">
        <f aca="false">IF(12&gt;Inputs!$B$7,0,(-PMT(Inputs!$B$6/12,Inputs!$B$7*12,(Inputs!$B$4*(1-Inputs!$B$5)))*12))+G810*Inputs!$B$9+Inputs!$B$10*(1+Inputs!$B$15)^11+Inputs!$B$11*12*(1+Inputs!$B$15)^11+G810*Inputs!$B$12</f>
        <v>43703.9514179737</v>
      </c>
    </row>
    <row r="876" customFormat="false" ht="15" hidden="true" customHeight="true" outlineLevel="0" collapsed="false">
      <c r="B876" s="34" t="n">
        <f aca="false">IF(13&gt;Inputs!$B$7,0,(-PMT(Inputs!$B$6/12,Inputs!$B$7*12,(Inputs!$B$4*(1-Inputs!$B$5)))*12))+B811*Inputs!$B$9+Inputs!$B$10*(1+Inputs!$B$15)^12+Inputs!$B$11*12*(1+Inputs!$B$15)^12+B811*Inputs!$B$12</f>
        <v>44169.5149484161</v>
      </c>
      <c r="C876" s="34" t="n">
        <f aca="false">IF(13&gt;Inputs!$B$7,0,(-PMT(Inputs!$B$6/12,Inputs!$B$7*12,(Inputs!$B$4*(1-Inputs!$B$5)))*12))+C811*Inputs!$B$9+Inputs!$B$10*(1+Inputs!$B$15)^12+Inputs!$B$11*12*(1+Inputs!$B$15)^12+C811*Inputs!$B$12</f>
        <v>44169.5149484161</v>
      </c>
      <c r="D876" s="34" t="n">
        <f aca="false">IF(13&gt;Inputs!$B$7,0,(-PMT(Inputs!$B$6/12,Inputs!$B$7*12,(Inputs!$B$4*(1-Inputs!$B$5)))*12))+D811*Inputs!$B$9+Inputs!$B$10*(1+Inputs!$B$15)^12+Inputs!$B$11*12*(1+Inputs!$B$15)^12+D811*Inputs!$B$12</f>
        <v>44169.5149484161</v>
      </c>
      <c r="E876" s="34" t="n">
        <f aca="false">IF(13&gt;Inputs!$B$7,0,(-PMT(Inputs!$B$6/12,Inputs!$B$7*12,(Inputs!$B$4*(1-Inputs!$B$5)))*12))+E811*Inputs!$B$9+Inputs!$B$10*(1+Inputs!$B$15)^12+Inputs!$B$11*12*(1+Inputs!$B$15)^12+E811*Inputs!$B$12</f>
        <v>44169.5149484161</v>
      </c>
      <c r="F876" s="34" t="n">
        <f aca="false">IF(13&gt;Inputs!$B$7,0,(-PMT(Inputs!$B$6/12,Inputs!$B$7*12,(Inputs!$B$4*(1-Inputs!$B$5)))*12))+F811*Inputs!$B$9+Inputs!$B$10*(1+Inputs!$B$15)^12+Inputs!$B$11*12*(1+Inputs!$B$15)^12+F811*Inputs!$B$12</f>
        <v>44169.5149484161</v>
      </c>
      <c r="G876" s="34" t="n">
        <f aca="false">IF(13&gt;Inputs!$B$7,0,(-PMT(Inputs!$B$6/12,Inputs!$B$7*12,(Inputs!$B$4*(1-Inputs!$B$5)))*12))+G811*Inputs!$B$9+Inputs!$B$10*(1+Inputs!$B$15)^12+Inputs!$B$11*12*(1+Inputs!$B$15)^12+G811*Inputs!$B$12</f>
        <v>44169.5149484161</v>
      </c>
    </row>
    <row r="877" customFormat="false" ht="15" hidden="true" customHeight="true" outlineLevel="0" collapsed="false">
      <c r="B877" s="34" t="n">
        <f aca="false">IF(14&gt;Inputs!$B$7,0,(-PMT(Inputs!$B$6/12,Inputs!$B$7*12,(Inputs!$B$4*(1-Inputs!$B$5)))*12))+B812*Inputs!$B$9+Inputs!$B$10*(1+Inputs!$B$15)^13+Inputs!$B$11*12*(1+Inputs!$B$15)^13+B812*Inputs!$B$12</f>
        <v>44649.0453847717</v>
      </c>
      <c r="C877" s="34" t="n">
        <f aca="false">IF(14&gt;Inputs!$B$7,0,(-PMT(Inputs!$B$6/12,Inputs!$B$7*12,(Inputs!$B$4*(1-Inputs!$B$5)))*12))+C812*Inputs!$B$9+Inputs!$B$10*(1+Inputs!$B$15)^13+Inputs!$B$11*12*(1+Inputs!$B$15)^13+C812*Inputs!$B$12</f>
        <v>44649.0453847717</v>
      </c>
      <c r="D877" s="34" t="n">
        <f aca="false">IF(14&gt;Inputs!$B$7,0,(-PMT(Inputs!$B$6/12,Inputs!$B$7*12,(Inputs!$B$4*(1-Inputs!$B$5)))*12))+D812*Inputs!$B$9+Inputs!$B$10*(1+Inputs!$B$15)^13+Inputs!$B$11*12*(1+Inputs!$B$15)^13+D812*Inputs!$B$12</f>
        <v>44649.0453847717</v>
      </c>
      <c r="E877" s="34" t="n">
        <f aca="false">IF(14&gt;Inputs!$B$7,0,(-PMT(Inputs!$B$6/12,Inputs!$B$7*12,(Inputs!$B$4*(1-Inputs!$B$5)))*12))+E812*Inputs!$B$9+Inputs!$B$10*(1+Inputs!$B$15)^13+Inputs!$B$11*12*(1+Inputs!$B$15)^13+E812*Inputs!$B$12</f>
        <v>44649.0453847717</v>
      </c>
      <c r="F877" s="34" t="n">
        <f aca="false">IF(14&gt;Inputs!$B$7,0,(-PMT(Inputs!$B$6/12,Inputs!$B$7*12,(Inputs!$B$4*(1-Inputs!$B$5)))*12))+F812*Inputs!$B$9+Inputs!$B$10*(1+Inputs!$B$15)^13+Inputs!$B$11*12*(1+Inputs!$B$15)^13+F812*Inputs!$B$12</f>
        <v>44649.0453847717</v>
      </c>
      <c r="G877" s="34" t="n">
        <f aca="false">IF(14&gt;Inputs!$B$7,0,(-PMT(Inputs!$B$6/12,Inputs!$B$7*12,(Inputs!$B$4*(1-Inputs!$B$5)))*12))+G812*Inputs!$B$9+Inputs!$B$10*(1+Inputs!$B$15)^13+Inputs!$B$11*12*(1+Inputs!$B$15)^13+G812*Inputs!$B$12</f>
        <v>44649.0453847717</v>
      </c>
    </row>
    <row r="878" customFormat="false" ht="15" hidden="true" customHeight="true" outlineLevel="0" collapsed="false">
      <c r="B878" s="34" t="n">
        <f aca="false">IF(15&gt;Inputs!$B$7,0,(-PMT(Inputs!$B$6/12,Inputs!$B$7*12,(Inputs!$B$4*(1-Inputs!$B$5)))*12))+B813*Inputs!$B$9+Inputs!$B$10*(1+Inputs!$B$15)^14+Inputs!$B$11*12*(1+Inputs!$B$15)^14+B813*Inputs!$B$12</f>
        <v>45142.961734218</v>
      </c>
      <c r="C878" s="34" t="n">
        <f aca="false">IF(15&gt;Inputs!$B$7,0,(-PMT(Inputs!$B$6/12,Inputs!$B$7*12,(Inputs!$B$4*(1-Inputs!$B$5)))*12))+C813*Inputs!$B$9+Inputs!$B$10*(1+Inputs!$B$15)^14+Inputs!$B$11*12*(1+Inputs!$B$15)^14+C813*Inputs!$B$12</f>
        <v>45142.961734218</v>
      </c>
      <c r="D878" s="34" t="n">
        <f aca="false">IF(15&gt;Inputs!$B$7,0,(-PMT(Inputs!$B$6/12,Inputs!$B$7*12,(Inputs!$B$4*(1-Inputs!$B$5)))*12))+D813*Inputs!$B$9+Inputs!$B$10*(1+Inputs!$B$15)^14+Inputs!$B$11*12*(1+Inputs!$B$15)^14+D813*Inputs!$B$12</f>
        <v>45142.961734218</v>
      </c>
      <c r="E878" s="34" t="n">
        <f aca="false">IF(15&gt;Inputs!$B$7,0,(-PMT(Inputs!$B$6/12,Inputs!$B$7*12,(Inputs!$B$4*(1-Inputs!$B$5)))*12))+E813*Inputs!$B$9+Inputs!$B$10*(1+Inputs!$B$15)^14+Inputs!$B$11*12*(1+Inputs!$B$15)^14+E813*Inputs!$B$12</f>
        <v>45142.961734218</v>
      </c>
      <c r="F878" s="34" t="n">
        <f aca="false">IF(15&gt;Inputs!$B$7,0,(-PMT(Inputs!$B$6/12,Inputs!$B$7*12,(Inputs!$B$4*(1-Inputs!$B$5)))*12))+F813*Inputs!$B$9+Inputs!$B$10*(1+Inputs!$B$15)^14+Inputs!$B$11*12*(1+Inputs!$B$15)^14+F813*Inputs!$B$12</f>
        <v>45142.961734218</v>
      </c>
      <c r="G878" s="34" t="n">
        <f aca="false">IF(15&gt;Inputs!$B$7,0,(-PMT(Inputs!$B$6/12,Inputs!$B$7*12,(Inputs!$B$4*(1-Inputs!$B$5)))*12))+G813*Inputs!$B$9+Inputs!$B$10*(1+Inputs!$B$15)^14+Inputs!$B$11*12*(1+Inputs!$B$15)^14+G813*Inputs!$B$12</f>
        <v>45142.961734218</v>
      </c>
    </row>
    <row r="879" customFormat="false" ht="15" hidden="true" customHeight="true" outlineLevel="0" collapsed="false">
      <c r="B879" s="34" t="n">
        <f aca="false">IF(16&gt;Inputs!$B$7,0,(-PMT(Inputs!$B$6/12,Inputs!$B$7*12,(Inputs!$B$4*(1-Inputs!$B$5)))*12))+B814*Inputs!$B$9+Inputs!$B$10*(1+Inputs!$B$15)^15+Inputs!$B$11*12*(1+Inputs!$B$15)^15+B814*Inputs!$B$12</f>
        <v>45651.6955741477</v>
      </c>
      <c r="C879" s="34" t="n">
        <f aca="false">IF(16&gt;Inputs!$B$7,0,(-PMT(Inputs!$B$6/12,Inputs!$B$7*12,(Inputs!$B$4*(1-Inputs!$B$5)))*12))+C814*Inputs!$B$9+Inputs!$B$10*(1+Inputs!$B$15)^15+Inputs!$B$11*12*(1+Inputs!$B$15)^15+C814*Inputs!$B$12</f>
        <v>45651.6955741477</v>
      </c>
      <c r="D879" s="34" t="n">
        <f aca="false">IF(16&gt;Inputs!$B$7,0,(-PMT(Inputs!$B$6/12,Inputs!$B$7*12,(Inputs!$B$4*(1-Inputs!$B$5)))*12))+D814*Inputs!$B$9+Inputs!$B$10*(1+Inputs!$B$15)^15+Inputs!$B$11*12*(1+Inputs!$B$15)^15+D814*Inputs!$B$12</f>
        <v>45651.6955741477</v>
      </c>
      <c r="E879" s="34" t="n">
        <f aca="false">IF(16&gt;Inputs!$B$7,0,(-PMT(Inputs!$B$6/12,Inputs!$B$7*12,(Inputs!$B$4*(1-Inputs!$B$5)))*12))+E814*Inputs!$B$9+Inputs!$B$10*(1+Inputs!$B$15)^15+Inputs!$B$11*12*(1+Inputs!$B$15)^15+E814*Inputs!$B$12</f>
        <v>45651.6955741477</v>
      </c>
      <c r="F879" s="34" t="n">
        <f aca="false">IF(16&gt;Inputs!$B$7,0,(-PMT(Inputs!$B$6/12,Inputs!$B$7*12,(Inputs!$B$4*(1-Inputs!$B$5)))*12))+F814*Inputs!$B$9+Inputs!$B$10*(1+Inputs!$B$15)^15+Inputs!$B$11*12*(1+Inputs!$B$15)^15+F814*Inputs!$B$12</f>
        <v>45651.6955741477</v>
      </c>
      <c r="G879" s="34" t="n">
        <f aca="false">IF(16&gt;Inputs!$B$7,0,(-PMT(Inputs!$B$6/12,Inputs!$B$7*12,(Inputs!$B$4*(1-Inputs!$B$5)))*12))+G814*Inputs!$B$9+Inputs!$B$10*(1+Inputs!$B$15)^15+Inputs!$B$11*12*(1+Inputs!$B$15)^15+G814*Inputs!$B$12</f>
        <v>45651.6955741477</v>
      </c>
    </row>
    <row r="880" customFormat="false" ht="15" hidden="true" customHeight="true" outlineLevel="0" collapsed="false">
      <c r="B880" s="34" t="n">
        <f aca="false">IF(17&gt;Inputs!$B$7,0,(-PMT(Inputs!$B$6/12,Inputs!$B$7*12,(Inputs!$B$4*(1-Inputs!$B$5)))*12))+B815*Inputs!$B$9+Inputs!$B$10*(1+Inputs!$B$15)^16+Inputs!$B$11*12*(1+Inputs!$B$15)^16+B815*Inputs!$B$12</f>
        <v>46175.6914292753</v>
      </c>
      <c r="C880" s="34" t="n">
        <f aca="false">IF(17&gt;Inputs!$B$7,0,(-PMT(Inputs!$B$6/12,Inputs!$B$7*12,(Inputs!$B$4*(1-Inputs!$B$5)))*12))+C815*Inputs!$B$9+Inputs!$B$10*(1+Inputs!$B$15)^16+Inputs!$B$11*12*(1+Inputs!$B$15)^16+C815*Inputs!$B$12</f>
        <v>46175.6914292753</v>
      </c>
      <c r="D880" s="34" t="n">
        <f aca="false">IF(17&gt;Inputs!$B$7,0,(-PMT(Inputs!$B$6/12,Inputs!$B$7*12,(Inputs!$B$4*(1-Inputs!$B$5)))*12))+D815*Inputs!$B$9+Inputs!$B$10*(1+Inputs!$B$15)^16+Inputs!$B$11*12*(1+Inputs!$B$15)^16+D815*Inputs!$B$12</f>
        <v>46175.6914292753</v>
      </c>
      <c r="E880" s="34" t="n">
        <f aca="false">IF(17&gt;Inputs!$B$7,0,(-PMT(Inputs!$B$6/12,Inputs!$B$7*12,(Inputs!$B$4*(1-Inputs!$B$5)))*12))+E815*Inputs!$B$9+Inputs!$B$10*(1+Inputs!$B$15)^16+Inputs!$B$11*12*(1+Inputs!$B$15)^16+E815*Inputs!$B$12</f>
        <v>46175.6914292753</v>
      </c>
      <c r="F880" s="34" t="n">
        <f aca="false">IF(17&gt;Inputs!$B$7,0,(-PMT(Inputs!$B$6/12,Inputs!$B$7*12,(Inputs!$B$4*(1-Inputs!$B$5)))*12))+F815*Inputs!$B$9+Inputs!$B$10*(1+Inputs!$B$15)^16+Inputs!$B$11*12*(1+Inputs!$B$15)^16+F815*Inputs!$B$12</f>
        <v>46175.6914292753</v>
      </c>
      <c r="G880" s="34" t="n">
        <f aca="false">IF(17&gt;Inputs!$B$7,0,(-PMT(Inputs!$B$6/12,Inputs!$B$7*12,(Inputs!$B$4*(1-Inputs!$B$5)))*12))+G815*Inputs!$B$9+Inputs!$B$10*(1+Inputs!$B$15)^16+Inputs!$B$11*12*(1+Inputs!$B$15)^16+G815*Inputs!$B$12</f>
        <v>46175.6914292753</v>
      </c>
    </row>
    <row r="881" customFormat="false" ht="15" hidden="true" customHeight="true" outlineLevel="0" collapsed="false">
      <c r="B881" s="34" t="n">
        <f aca="false">IF(18&gt;Inputs!$B$7,0,(-PMT(Inputs!$B$6/12,Inputs!$B$7*12,(Inputs!$B$4*(1-Inputs!$B$5)))*12))+B816*Inputs!$B$9+Inputs!$B$10*(1+Inputs!$B$15)^17+Inputs!$B$11*12*(1+Inputs!$B$15)^17+B816*Inputs!$B$12</f>
        <v>46715.4071600567</v>
      </c>
      <c r="C881" s="34" t="n">
        <f aca="false">IF(18&gt;Inputs!$B$7,0,(-PMT(Inputs!$B$6/12,Inputs!$B$7*12,(Inputs!$B$4*(1-Inputs!$B$5)))*12))+C816*Inputs!$B$9+Inputs!$B$10*(1+Inputs!$B$15)^17+Inputs!$B$11*12*(1+Inputs!$B$15)^17+C816*Inputs!$B$12</f>
        <v>46715.4071600567</v>
      </c>
      <c r="D881" s="34" t="n">
        <f aca="false">IF(18&gt;Inputs!$B$7,0,(-PMT(Inputs!$B$6/12,Inputs!$B$7*12,(Inputs!$B$4*(1-Inputs!$B$5)))*12))+D816*Inputs!$B$9+Inputs!$B$10*(1+Inputs!$B$15)^17+Inputs!$B$11*12*(1+Inputs!$B$15)^17+D816*Inputs!$B$12</f>
        <v>46715.4071600567</v>
      </c>
      <c r="E881" s="34" t="n">
        <f aca="false">IF(18&gt;Inputs!$B$7,0,(-PMT(Inputs!$B$6/12,Inputs!$B$7*12,(Inputs!$B$4*(1-Inputs!$B$5)))*12))+E816*Inputs!$B$9+Inputs!$B$10*(1+Inputs!$B$15)^17+Inputs!$B$11*12*(1+Inputs!$B$15)^17+E816*Inputs!$B$12</f>
        <v>46715.4071600567</v>
      </c>
      <c r="F881" s="34" t="n">
        <f aca="false">IF(18&gt;Inputs!$B$7,0,(-PMT(Inputs!$B$6/12,Inputs!$B$7*12,(Inputs!$B$4*(1-Inputs!$B$5)))*12))+F816*Inputs!$B$9+Inputs!$B$10*(1+Inputs!$B$15)^17+Inputs!$B$11*12*(1+Inputs!$B$15)^17+F816*Inputs!$B$12</f>
        <v>46715.4071600567</v>
      </c>
      <c r="G881" s="34" t="n">
        <f aca="false">IF(18&gt;Inputs!$B$7,0,(-PMT(Inputs!$B$6/12,Inputs!$B$7*12,(Inputs!$B$4*(1-Inputs!$B$5)))*12))+G816*Inputs!$B$9+Inputs!$B$10*(1+Inputs!$B$15)^17+Inputs!$B$11*12*(1+Inputs!$B$15)^17+G816*Inputs!$B$12</f>
        <v>46715.4071600567</v>
      </c>
    </row>
    <row r="882" customFormat="false" ht="15" hidden="true" customHeight="true" outlineLevel="0" collapsed="false">
      <c r="B882" s="34" t="n">
        <f aca="false">IF(19&gt;Inputs!$B$7,0,(-PMT(Inputs!$B$6/12,Inputs!$B$7*12,(Inputs!$B$4*(1-Inputs!$B$5)))*12))+B817*Inputs!$B$9+Inputs!$B$10*(1+Inputs!$B$15)^18+Inputs!$B$11*12*(1+Inputs!$B$15)^18+B817*Inputs!$B$12</f>
        <v>47271.3143627616</v>
      </c>
      <c r="C882" s="34" t="n">
        <f aca="false">IF(19&gt;Inputs!$B$7,0,(-PMT(Inputs!$B$6/12,Inputs!$B$7*12,(Inputs!$B$4*(1-Inputs!$B$5)))*12))+C817*Inputs!$B$9+Inputs!$B$10*(1+Inputs!$B$15)^18+Inputs!$B$11*12*(1+Inputs!$B$15)^18+C817*Inputs!$B$12</f>
        <v>47271.3143627616</v>
      </c>
      <c r="D882" s="34" t="n">
        <f aca="false">IF(19&gt;Inputs!$B$7,0,(-PMT(Inputs!$B$6/12,Inputs!$B$7*12,(Inputs!$B$4*(1-Inputs!$B$5)))*12))+D817*Inputs!$B$9+Inputs!$B$10*(1+Inputs!$B$15)^18+Inputs!$B$11*12*(1+Inputs!$B$15)^18+D817*Inputs!$B$12</f>
        <v>47271.3143627616</v>
      </c>
      <c r="E882" s="34" t="n">
        <f aca="false">IF(19&gt;Inputs!$B$7,0,(-PMT(Inputs!$B$6/12,Inputs!$B$7*12,(Inputs!$B$4*(1-Inputs!$B$5)))*12))+E817*Inputs!$B$9+Inputs!$B$10*(1+Inputs!$B$15)^18+Inputs!$B$11*12*(1+Inputs!$B$15)^18+E817*Inputs!$B$12</f>
        <v>47271.3143627616</v>
      </c>
      <c r="F882" s="34" t="n">
        <f aca="false">IF(19&gt;Inputs!$B$7,0,(-PMT(Inputs!$B$6/12,Inputs!$B$7*12,(Inputs!$B$4*(1-Inputs!$B$5)))*12))+F817*Inputs!$B$9+Inputs!$B$10*(1+Inputs!$B$15)^18+Inputs!$B$11*12*(1+Inputs!$B$15)^18+F817*Inputs!$B$12</f>
        <v>47271.3143627616</v>
      </c>
      <c r="G882" s="34" t="n">
        <f aca="false">IF(19&gt;Inputs!$B$7,0,(-PMT(Inputs!$B$6/12,Inputs!$B$7*12,(Inputs!$B$4*(1-Inputs!$B$5)))*12))+G817*Inputs!$B$9+Inputs!$B$10*(1+Inputs!$B$15)^18+Inputs!$B$11*12*(1+Inputs!$B$15)^18+G817*Inputs!$B$12</f>
        <v>47271.3143627616</v>
      </c>
    </row>
    <row r="883" customFormat="false" ht="15" hidden="true" customHeight="true" outlineLevel="0" collapsed="false">
      <c r="B883" s="34" t="n">
        <f aca="false">IF(20&gt;Inputs!$B$7,0,(-PMT(Inputs!$B$6/12,Inputs!$B$7*12,(Inputs!$B$4*(1-Inputs!$B$5)))*12))+B818*Inputs!$B$9+Inputs!$B$10*(1+Inputs!$B$15)^19+Inputs!$B$11*12*(1+Inputs!$B$15)^19+B818*Inputs!$B$12</f>
        <v>47843.8987815476</v>
      </c>
      <c r="C883" s="34" t="n">
        <f aca="false">IF(20&gt;Inputs!$B$7,0,(-PMT(Inputs!$B$6/12,Inputs!$B$7*12,(Inputs!$B$4*(1-Inputs!$B$5)))*12))+C818*Inputs!$B$9+Inputs!$B$10*(1+Inputs!$B$15)^19+Inputs!$B$11*12*(1+Inputs!$B$15)^19+C818*Inputs!$B$12</f>
        <v>47843.8987815476</v>
      </c>
      <c r="D883" s="34" t="n">
        <f aca="false">IF(20&gt;Inputs!$B$7,0,(-PMT(Inputs!$B$6/12,Inputs!$B$7*12,(Inputs!$B$4*(1-Inputs!$B$5)))*12))+D818*Inputs!$B$9+Inputs!$B$10*(1+Inputs!$B$15)^19+Inputs!$B$11*12*(1+Inputs!$B$15)^19+D818*Inputs!$B$12</f>
        <v>47843.8987815476</v>
      </c>
      <c r="E883" s="34" t="n">
        <f aca="false">IF(20&gt;Inputs!$B$7,0,(-PMT(Inputs!$B$6/12,Inputs!$B$7*12,(Inputs!$B$4*(1-Inputs!$B$5)))*12))+E818*Inputs!$B$9+Inputs!$B$10*(1+Inputs!$B$15)^19+Inputs!$B$11*12*(1+Inputs!$B$15)^19+E818*Inputs!$B$12</f>
        <v>47843.8987815476</v>
      </c>
      <c r="F883" s="34" t="n">
        <f aca="false">IF(20&gt;Inputs!$B$7,0,(-PMT(Inputs!$B$6/12,Inputs!$B$7*12,(Inputs!$B$4*(1-Inputs!$B$5)))*12))+F818*Inputs!$B$9+Inputs!$B$10*(1+Inputs!$B$15)^19+Inputs!$B$11*12*(1+Inputs!$B$15)^19+F818*Inputs!$B$12</f>
        <v>47843.8987815476</v>
      </c>
      <c r="G883" s="34" t="n">
        <f aca="false">IF(20&gt;Inputs!$B$7,0,(-PMT(Inputs!$B$6/12,Inputs!$B$7*12,(Inputs!$B$4*(1-Inputs!$B$5)))*12))+G818*Inputs!$B$9+Inputs!$B$10*(1+Inputs!$B$15)^19+Inputs!$B$11*12*(1+Inputs!$B$15)^19+G818*Inputs!$B$12</f>
        <v>47843.8987815476</v>
      </c>
    </row>
    <row r="884" customFormat="false" ht="15" hidden="true" customHeight="true" outlineLevel="0" collapsed="false">
      <c r="B884" s="34" t="n">
        <f aca="false">IF(21&gt;Inputs!$B$7,0,(-PMT(Inputs!$B$6/12,Inputs!$B$7*12,(Inputs!$B$4*(1-Inputs!$B$5)))*12))+B819*Inputs!$B$9+Inputs!$B$10*(1+Inputs!$B$15)^20+Inputs!$B$11*12*(1+Inputs!$B$15)^20+B819*Inputs!$B$12</f>
        <v>48433.6607328972</v>
      </c>
      <c r="C884" s="34" t="n">
        <f aca="false">IF(21&gt;Inputs!$B$7,0,(-PMT(Inputs!$B$6/12,Inputs!$B$7*12,(Inputs!$B$4*(1-Inputs!$B$5)))*12))+C819*Inputs!$B$9+Inputs!$B$10*(1+Inputs!$B$15)^20+Inputs!$B$11*12*(1+Inputs!$B$15)^20+C819*Inputs!$B$12</f>
        <v>48433.6607328972</v>
      </c>
      <c r="D884" s="34" t="n">
        <f aca="false">IF(21&gt;Inputs!$B$7,0,(-PMT(Inputs!$B$6/12,Inputs!$B$7*12,(Inputs!$B$4*(1-Inputs!$B$5)))*12))+D819*Inputs!$B$9+Inputs!$B$10*(1+Inputs!$B$15)^20+Inputs!$B$11*12*(1+Inputs!$B$15)^20+D819*Inputs!$B$12</f>
        <v>48433.6607328972</v>
      </c>
      <c r="E884" s="34" t="n">
        <f aca="false">IF(21&gt;Inputs!$B$7,0,(-PMT(Inputs!$B$6/12,Inputs!$B$7*12,(Inputs!$B$4*(1-Inputs!$B$5)))*12))+E819*Inputs!$B$9+Inputs!$B$10*(1+Inputs!$B$15)^20+Inputs!$B$11*12*(1+Inputs!$B$15)^20+E819*Inputs!$B$12</f>
        <v>48433.6607328972</v>
      </c>
      <c r="F884" s="34" t="n">
        <f aca="false">IF(21&gt;Inputs!$B$7,0,(-PMT(Inputs!$B$6/12,Inputs!$B$7*12,(Inputs!$B$4*(1-Inputs!$B$5)))*12))+F819*Inputs!$B$9+Inputs!$B$10*(1+Inputs!$B$15)^20+Inputs!$B$11*12*(1+Inputs!$B$15)^20+F819*Inputs!$B$12</f>
        <v>48433.6607328972</v>
      </c>
      <c r="G884" s="34" t="n">
        <f aca="false">IF(21&gt;Inputs!$B$7,0,(-PMT(Inputs!$B$6/12,Inputs!$B$7*12,(Inputs!$B$4*(1-Inputs!$B$5)))*12))+G819*Inputs!$B$9+Inputs!$B$10*(1+Inputs!$B$15)^20+Inputs!$B$11*12*(1+Inputs!$B$15)^20+G819*Inputs!$B$12</f>
        <v>48433.6607328972</v>
      </c>
    </row>
    <row r="885" customFormat="false" ht="15" hidden="true" customHeight="true" outlineLevel="0" collapsed="false">
      <c r="B885" s="34" t="n">
        <f aca="false">IF(22&gt;Inputs!$B$7,0,(-PMT(Inputs!$B$6/12,Inputs!$B$7*12,(Inputs!$B$4*(1-Inputs!$B$5)))*12))+B820*Inputs!$B$9+Inputs!$B$10*(1+Inputs!$B$15)^21+Inputs!$B$11*12*(1+Inputs!$B$15)^21+B820*Inputs!$B$12</f>
        <v>49041.1155427872</v>
      </c>
      <c r="C885" s="34" t="n">
        <f aca="false">IF(22&gt;Inputs!$B$7,0,(-PMT(Inputs!$B$6/12,Inputs!$B$7*12,(Inputs!$B$4*(1-Inputs!$B$5)))*12))+C820*Inputs!$B$9+Inputs!$B$10*(1+Inputs!$B$15)^21+Inputs!$B$11*12*(1+Inputs!$B$15)^21+C820*Inputs!$B$12</f>
        <v>49041.1155427872</v>
      </c>
      <c r="D885" s="34" t="n">
        <f aca="false">IF(22&gt;Inputs!$B$7,0,(-PMT(Inputs!$B$6/12,Inputs!$B$7*12,(Inputs!$B$4*(1-Inputs!$B$5)))*12))+D820*Inputs!$B$9+Inputs!$B$10*(1+Inputs!$B$15)^21+Inputs!$B$11*12*(1+Inputs!$B$15)^21+D820*Inputs!$B$12</f>
        <v>49041.1155427872</v>
      </c>
      <c r="E885" s="34" t="n">
        <f aca="false">IF(22&gt;Inputs!$B$7,0,(-PMT(Inputs!$B$6/12,Inputs!$B$7*12,(Inputs!$B$4*(1-Inputs!$B$5)))*12))+E820*Inputs!$B$9+Inputs!$B$10*(1+Inputs!$B$15)^21+Inputs!$B$11*12*(1+Inputs!$B$15)^21+E820*Inputs!$B$12</f>
        <v>49041.1155427872</v>
      </c>
      <c r="F885" s="34" t="n">
        <f aca="false">IF(22&gt;Inputs!$B$7,0,(-PMT(Inputs!$B$6/12,Inputs!$B$7*12,(Inputs!$B$4*(1-Inputs!$B$5)))*12))+F820*Inputs!$B$9+Inputs!$B$10*(1+Inputs!$B$15)^21+Inputs!$B$11*12*(1+Inputs!$B$15)^21+F820*Inputs!$B$12</f>
        <v>49041.1155427872</v>
      </c>
      <c r="G885" s="34" t="n">
        <f aca="false">IF(22&gt;Inputs!$B$7,0,(-PMT(Inputs!$B$6/12,Inputs!$B$7*12,(Inputs!$B$4*(1-Inputs!$B$5)))*12))+G820*Inputs!$B$9+Inputs!$B$10*(1+Inputs!$B$15)^21+Inputs!$B$11*12*(1+Inputs!$B$15)^21+G820*Inputs!$B$12</f>
        <v>49041.1155427872</v>
      </c>
    </row>
    <row r="886" customFormat="false" ht="15" hidden="true" customHeight="true" outlineLevel="0" collapsed="false">
      <c r="B886" s="34" t="n">
        <f aca="false">IF(23&gt;Inputs!$B$7,0,(-PMT(Inputs!$B$6/12,Inputs!$B$7*12,(Inputs!$B$4*(1-Inputs!$B$5)))*12))+B821*Inputs!$B$9+Inputs!$B$10*(1+Inputs!$B$15)^22+Inputs!$B$11*12*(1+Inputs!$B$15)^22+B821*Inputs!$B$12</f>
        <v>49666.793996974</v>
      </c>
      <c r="C886" s="34" t="n">
        <f aca="false">IF(23&gt;Inputs!$B$7,0,(-PMT(Inputs!$B$6/12,Inputs!$B$7*12,(Inputs!$B$4*(1-Inputs!$B$5)))*12))+C821*Inputs!$B$9+Inputs!$B$10*(1+Inputs!$B$15)^22+Inputs!$B$11*12*(1+Inputs!$B$15)^22+C821*Inputs!$B$12</f>
        <v>49666.793996974</v>
      </c>
      <c r="D886" s="34" t="n">
        <f aca="false">IF(23&gt;Inputs!$B$7,0,(-PMT(Inputs!$B$6/12,Inputs!$B$7*12,(Inputs!$B$4*(1-Inputs!$B$5)))*12))+D821*Inputs!$B$9+Inputs!$B$10*(1+Inputs!$B$15)^22+Inputs!$B$11*12*(1+Inputs!$B$15)^22+D821*Inputs!$B$12</f>
        <v>49666.793996974</v>
      </c>
      <c r="E886" s="34" t="n">
        <f aca="false">IF(23&gt;Inputs!$B$7,0,(-PMT(Inputs!$B$6/12,Inputs!$B$7*12,(Inputs!$B$4*(1-Inputs!$B$5)))*12))+E821*Inputs!$B$9+Inputs!$B$10*(1+Inputs!$B$15)^22+Inputs!$B$11*12*(1+Inputs!$B$15)^22+E821*Inputs!$B$12</f>
        <v>49666.793996974</v>
      </c>
      <c r="F886" s="34" t="n">
        <f aca="false">IF(23&gt;Inputs!$B$7,0,(-PMT(Inputs!$B$6/12,Inputs!$B$7*12,(Inputs!$B$4*(1-Inputs!$B$5)))*12))+F821*Inputs!$B$9+Inputs!$B$10*(1+Inputs!$B$15)^22+Inputs!$B$11*12*(1+Inputs!$B$15)^22+F821*Inputs!$B$12</f>
        <v>49666.793996974</v>
      </c>
      <c r="G886" s="34" t="n">
        <f aca="false">IF(23&gt;Inputs!$B$7,0,(-PMT(Inputs!$B$6/12,Inputs!$B$7*12,(Inputs!$B$4*(1-Inputs!$B$5)))*12))+G821*Inputs!$B$9+Inputs!$B$10*(1+Inputs!$B$15)^22+Inputs!$B$11*12*(1+Inputs!$B$15)^22+G821*Inputs!$B$12</f>
        <v>49666.793996974</v>
      </c>
    </row>
    <row r="887" customFormat="false" ht="15" hidden="true" customHeight="true" outlineLevel="0" collapsed="false">
      <c r="B887" s="34" t="n">
        <f aca="false">IF(24&gt;Inputs!$B$7,0,(-PMT(Inputs!$B$6/12,Inputs!$B$7*12,(Inputs!$B$4*(1-Inputs!$B$5)))*12))+B822*Inputs!$B$9+Inputs!$B$10*(1+Inputs!$B$15)^23+Inputs!$B$11*12*(1+Inputs!$B$15)^23+B822*Inputs!$B$12</f>
        <v>50311.2428047864</v>
      </c>
      <c r="C887" s="34" t="n">
        <f aca="false">IF(24&gt;Inputs!$B$7,0,(-PMT(Inputs!$B$6/12,Inputs!$B$7*12,(Inputs!$B$4*(1-Inputs!$B$5)))*12))+C822*Inputs!$B$9+Inputs!$B$10*(1+Inputs!$B$15)^23+Inputs!$B$11*12*(1+Inputs!$B$15)^23+C822*Inputs!$B$12</f>
        <v>50311.2428047864</v>
      </c>
      <c r="D887" s="34" t="n">
        <f aca="false">IF(24&gt;Inputs!$B$7,0,(-PMT(Inputs!$B$6/12,Inputs!$B$7*12,(Inputs!$B$4*(1-Inputs!$B$5)))*12))+D822*Inputs!$B$9+Inputs!$B$10*(1+Inputs!$B$15)^23+Inputs!$B$11*12*(1+Inputs!$B$15)^23+D822*Inputs!$B$12</f>
        <v>50311.2428047864</v>
      </c>
      <c r="E887" s="34" t="n">
        <f aca="false">IF(24&gt;Inputs!$B$7,0,(-PMT(Inputs!$B$6/12,Inputs!$B$7*12,(Inputs!$B$4*(1-Inputs!$B$5)))*12))+E822*Inputs!$B$9+Inputs!$B$10*(1+Inputs!$B$15)^23+Inputs!$B$11*12*(1+Inputs!$B$15)^23+E822*Inputs!$B$12</f>
        <v>50311.2428047864</v>
      </c>
      <c r="F887" s="34" t="n">
        <f aca="false">IF(24&gt;Inputs!$B$7,0,(-PMT(Inputs!$B$6/12,Inputs!$B$7*12,(Inputs!$B$4*(1-Inputs!$B$5)))*12))+F822*Inputs!$B$9+Inputs!$B$10*(1+Inputs!$B$15)^23+Inputs!$B$11*12*(1+Inputs!$B$15)^23+F822*Inputs!$B$12</f>
        <v>50311.2428047864</v>
      </c>
      <c r="G887" s="34" t="n">
        <f aca="false">IF(24&gt;Inputs!$B$7,0,(-PMT(Inputs!$B$6/12,Inputs!$B$7*12,(Inputs!$B$4*(1-Inputs!$B$5)))*12))+G822*Inputs!$B$9+Inputs!$B$10*(1+Inputs!$B$15)^23+Inputs!$B$11*12*(1+Inputs!$B$15)^23+G822*Inputs!$B$12</f>
        <v>50311.2428047864</v>
      </c>
    </row>
    <row r="888" customFormat="false" ht="15" hidden="true" customHeight="true" outlineLevel="0" collapsed="false">
      <c r="B888" s="34" t="n">
        <f aca="false">IF(25&gt;Inputs!$B$7,0,(-PMT(Inputs!$B$6/12,Inputs!$B$7*12,(Inputs!$B$4*(1-Inputs!$B$5)))*12))+B823*Inputs!$B$9+Inputs!$B$10*(1+Inputs!$B$15)^24+Inputs!$B$11*12*(1+Inputs!$B$15)^24+B823*Inputs!$B$12</f>
        <v>50975.0250768331</v>
      </c>
      <c r="C888" s="34" t="n">
        <f aca="false">IF(25&gt;Inputs!$B$7,0,(-PMT(Inputs!$B$6/12,Inputs!$B$7*12,(Inputs!$B$4*(1-Inputs!$B$5)))*12))+C823*Inputs!$B$9+Inputs!$B$10*(1+Inputs!$B$15)^24+Inputs!$B$11*12*(1+Inputs!$B$15)^24+C823*Inputs!$B$12</f>
        <v>50975.0250768331</v>
      </c>
      <c r="D888" s="34" t="n">
        <f aca="false">IF(25&gt;Inputs!$B$7,0,(-PMT(Inputs!$B$6/12,Inputs!$B$7*12,(Inputs!$B$4*(1-Inputs!$B$5)))*12))+D823*Inputs!$B$9+Inputs!$B$10*(1+Inputs!$B$15)^24+Inputs!$B$11*12*(1+Inputs!$B$15)^24+D823*Inputs!$B$12</f>
        <v>50975.0250768331</v>
      </c>
      <c r="E888" s="34" t="n">
        <f aca="false">IF(25&gt;Inputs!$B$7,0,(-PMT(Inputs!$B$6/12,Inputs!$B$7*12,(Inputs!$B$4*(1-Inputs!$B$5)))*12))+E823*Inputs!$B$9+Inputs!$B$10*(1+Inputs!$B$15)^24+Inputs!$B$11*12*(1+Inputs!$B$15)^24+E823*Inputs!$B$12</f>
        <v>50975.0250768331</v>
      </c>
      <c r="F888" s="34" t="n">
        <f aca="false">IF(25&gt;Inputs!$B$7,0,(-PMT(Inputs!$B$6/12,Inputs!$B$7*12,(Inputs!$B$4*(1-Inputs!$B$5)))*12))+F823*Inputs!$B$9+Inputs!$B$10*(1+Inputs!$B$15)^24+Inputs!$B$11*12*(1+Inputs!$B$15)^24+F823*Inputs!$B$12</f>
        <v>50975.0250768331</v>
      </c>
      <c r="G888" s="34" t="n">
        <f aca="false">IF(25&gt;Inputs!$B$7,0,(-PMT(Inputs!$B$6/12,Inputs!$B$7*12,(Inputs!$B$4*(1-Inputs!$B$5)))*12))+G823*Inputs!$B$9+Inputs!$B$10*(1+Inputs!$B$15)^24+Inputs!$B$11*12*(1+Inputs!$B$15)^24+G823*Inputs!$B$12</f>
        <v>50975.0250768331</v>
      </c>
    </row>
    <row r="889" customFormat="false" ht="15" hidden="true" customHeight="true" outlineLevel="0" collapsed="false">
      <c r="B889" s="34" t="n">
        <f aca="false">IF(26&gt;Inputs!$B$7,0,(-PMT(Inputs!$B$6/12,Inputs!$B$7*12,(Inputs!$B$4*(1-Inputs!$B$5)))*12))+B824*Inputs!$B$9+Inputs!$B$10*(1+Inputs!$B$15)^25+Inputs!$B$11*12*(1+Inputs!$B$15)^25+B824*Inputs!$B$12</f>
        <v>51658.7208170413</v>
      </c>
      <c r="C889" s="34" t="n">
        <f aca="false">IF(26&gt;Inputs!$B$7,0,(-PMT(Inputs!$B$6/12,Inputs!$B$7*12,(Inputs!$B$4*(1-Inputs!$B$5)))*12))+C824*Inputs!$B$9+Inputs!$B$10*(1+Inputs!$B$15)^25+Inputs!$B$11*12*(1+Inputs!$B$15)^25+C824*Inputs!$B$12</f>
        <v>51658.7208170413</v>
      </c>
      <c r="D889" s="34" t="n">
        <f aca="false">IF(26&gt;Inputs!$B$7,0,(-PMT(Inputs!$B$6/12,Inputs!$B$7*12,(Inputs!$B$4*(1-Inputs!$B$5)))*12))+D824*Inputs!$B$9+Inputs!$B$10*(1+Inputs!$B$15)^25+Inputs!$B$11*12*(1+Inputs!$B$15)^25+D824*Inputs!$B$12</f>
        <v>51658.7208170413</v>
      </c>
      <c r="E889" s="34" t="n">
        <f aca="false">IF(26&gt;Inputs!$B$7,0,(-PMT(Inputs!$B$6/12,Inputs!$B$7*12,(Inputs!$B$4*(1-Inputs!$B$5)))*12))+E824*Inputs!$B$9+Inputs!$B$10*(1+Inputs!$B$15)^25+Inputs!$B$11*12*(1+Inputs!$B$15)^25+E824*Inputs!$B$12</f>
        <v>51658.7208170413</v>
      </c>
      <c r="F889" s="34" t="n">
        <f aca="false">IF(26&gt;Inputs!$B$7,0,(-PMT(Inputs!$B$6/12,Inputs!$B$7*12,(Inputs!$B$4*(1-Inputs!$B$5)))*12))+F824*Inputs!$B$9+Inputs!$B$10*(1+Inputs!$B$15)^25+Inputs!$B$11*12*(1+Inputs!$B$15)^25+F824*Inputs!$B$12</f>
        <v>51658.7208170413</v>
      </c>
      <c r="G889" s="34" t="n">
        <f aca="false">IF(26&gt;Inputs!$B$7,0,(-PMT(Inputs!$B$6/12,Inputs!$B$7*12,(Inputs!$B$4*(1-Inputs!$B$5)))*12))+G824*Inputs!$B$9+Inputs!$B$10*(1+Inputs!$B$15)^25+Inputs!$B$11*12*(1+Inputs!$B$15)^25+G824*Inputs!$B$12</f>
        <v>51658.7208170413</v>
      </c>
    </row>
    <row r="890" customFormat="false" ht="15" hidden="true" customHeight="true" outlineLevel="0" collapsed="false">
      <c r="B890" s="34" t="n">
        <f aca="false">IF(27&gt;Inputs!$B$7,0,(-PMT(Inputs!$B$6/12,Inputs!$B$7*12,(Inputs!$B$4*(1-Inputs!$B$5)))*12))+B825*Inputs!$B$9+Inputs!$B$10*(1+Inputs!$B$15)^26+Inputs!$B$11*12*(1+Inputs!$B$15)^26+B825*Inputs!$B$12</f>
        <v>52362.9274294557</v>
      </c>
      <c r="C890" s="34" t="n">
        <f aca="false">IF(27&gt;Inputs!$B$7,0,(-PMT(Inputs!$B$6/12,Inputs!$B$7*12,(Inputs!$B$4*(1-Inputs!$B$5)))*12))+C825*Inputs!$B$9+Inputs!$B$10*(1+Inputs!$B$15)^26+Inputs!$B$11*12*(1+Inputs!$B$15)^26+C825*Inputs!$B$12</f>
        <v>52362.9274294557</v>
      </c>
      <c r="D890" s="34" t="n">
        <f aca="false">IF(27&gt;Inputs!$B$7,0,(-PMT(Inputs!$B$6/12,Inputs!$B$7*12,(Inputs!$B$4*(1-Inputs!$B$5)))*12))+D825*Inputs!$B$9+Inputs!$B$10*(1+Inputs!$B$15)^26+Inputs!$B$11*12*(1+Inputs!$B$15)^26+D825*Inputs!$B$12</f>
        <v>52362.9274294557</v>
      </c>
      <c r="E890" s="34" t="n">
        <f aca="false">IF(27&gt;Inputs!$B$7,0,(-PMT(Inputs!$B$6/12,Inputs!$B$7*12,(Inputs!$B$4*(1-Inputs!$B$5)))*12))+E825*Inputs!$B$9+Inputs!$B$10*(1+Inputs!$B$15)^26+Inputs!$B$11*12*(1+Inputs!$B$15)^26+E825*Inputs!$B$12</f>
        <v>52362.9274294557</v>
      </c>
      <c r="F890" s="34" t="n">
        <f aca="false">IF(27&gt;Inputs!$B$7,0,(-PMT(Inputs!$B$6/12,Inputs!$B$7*12,(Inputs!$B$4*(1-Inputs!$B$5)))*12))+F825*Inputs!$B$9+Inputs!$B$10*(1+Inputs!$B$15)^26+Inputs!$B$11*12*(1+Inputs!$B$15)^26+F825*Inputs!$B$12</f>
        <v>52362.9274294557</v>
      </c>
      <c r="G890" s="34" t="n">
        <f aca="false">IF(27&gt;Inputs!$B$7,0,(-PMT(Inputs!$B$6/12,Inputs!$B$7*12,(Inputs!$B$4*(1-Inputs!$B$5)))*12))+G825*Inputs!$B$9+Inputs!$B$10*(1+Inputs!$B$15)^26+Inputs!$B$11*12*(1+Inputs!$B$15)^26+G825*Inputs!$B$12</f>
        <v>52362.9274294557</v>
      </c>
    </row>
    <row r="891" customFormat="false" ht="15" hidden="true" customHeight="true" outlineLevel="0" collapsed="false">
      <c r="B891" s="34" t="n">
        <f aca="false">IF(28&gt;Inputs!$B$7,0,(-PMT(Inputs!$B$6/12,Inputs!$B$7*12,(Inputs!$B$4*(1-Inputs!$B$5)))*12))+B826*Inputs!$B$9+Inputs!$B$10*(1+Inputs!$B$15)^27+Inputs!$B$11*12*(1+Inputs!$B$15)^27+B826*Inputs!$B$12</f>
        <v>53088.2602402425</v>
      </c>
      <c r="C891" s="34" t="n">
        <f aca="false">IF(28&gt;Inputs!$B$7,0,(-PMT(Inputs!$B$6/12,Inputs!$B$7*12,(Inputs!$B$4*(1-Inputs!$B$5)))*12))+C826*Inputs!$B$9+Inputs!$B$10*(1+Inputs!$B$15)^27+Inputs!$B$11*12*(1+Inputs!$B$15)^27+C826*Inputs!$B$12</f>
        <v>53088.2602402425</v>
      </c>
      <c r="D891" s="34" t="n">
        <f aca="false">IF(28&gt;Inputs!$B$7,0,(-PMT(Inputs!$B$6/12,Inputs!$B$7*12,(Inputs!$B$4*(1-Inputs!$B$5)))*12))+D826*Inputs!$B$9+Inputs!$B$10*(1+Inputs!$B$15)^27+Inputs!$B$11*12*(1+Inputs!$B$15)^27+D826*Inputs!$B$12</f>
        <v>53088.2602402425</v>
      </c>
      <c r="E891" s="34" t="n">
        <f aca="false">IF(28&gt;Inputs!$B$7,0,(-PMT(Inputs!$B$6/12,Inputs!$B$7*12,(Inputs!$B$4*(1-Inputs!$B$5)))*12))+E826*Inputs!$B$9+Inputs!$B$10*(1+Inputs!$B$15)^27+Inputs!$B$11*12*(1+Inputs!$B$15)^27+E826*Inputs!$B$12</f>
        <v>53088.2602402425</v>
      </c>
      <c r="F891" s="34" t="n">
        <f aca="false">IF(28&gt;Inputs!$B$7,0,(-PMT(Inputs!$B$6/12,Inputs!$B$7*12,(Inputs!$B$4*(1-Inputs!$B$5)))*12))+F826*Inputs!$B$9+Inputs!$B$10*(1+Inputs!$B$15)^27+Inputs!$B$11*12*(1+Inputs!$B$15)^27+F826*Inputs!$B$12</f>
        <v>53088.2602402425</v>
      </c>
      <c r="G891" s="34" t="n">
        <f aca="false">IF(28&gt;Inputs!$B$7,0,(-PMT(Inputs!$B$6/12,Inputs!$B$7*12,(Inputs!$B$4*(1-Inputs!$B$5)))*12))+G826*Inputs!$B$9+Inputs!$B$10*(1+Inputs!$B$15)^27+Inputs!$B$11*12*(1+Inputs!$B$15)^27+G826*Inputs!$B$12</f>
        <v>53088.2602402425</v>
      </c>
    </row>
    <row r="892" customFormat="false" ht="15" hidden="true" customHeight="true" outlineLevel="0" collapsed="false">
      <c r="B892" s="34" t="n">
        <f aca="false">IF(29&gt;Inputs!$B$7,0,(-PMT(Inputs!$B$6/12,Inputs!$B$7*12,(Inputs!$B$4*(1-Inputs!$B$5)))*12))+B827*Inputs!$B$9+Inputs!$B$10*(1+Inputs!$B$15)^28+Inputs!$B$11*12*(1+Inputs!$B$15)^28+B827*Inputs!$B$12</f>
        <v>53835.3530353529</v>
      </c>
      <c r="C892" s="34" t="n">
        <f aca="false">IF(29&gt;Inputs!$B$7,0,(-PMT(Inputs!$B$6/12,Inputs!$B$7*12,(Inputs!$B$4*(1-Inputs!$B$5)))*12))+C827*Inputs!$B$9+Inputs!$B$10*(1+Inputs!$B$15)^28+Inputs!$B$11*12*(1+Inputs!$B$15)^28+C827*Inputs!$B$12</f>
        <v>53835.3530353529</v>
      </c>
      <c r="D892" s="34" t="n">
        <f aca="false">IF(29&gt;Inputs!$B$7,0,(-PMT(Inputs!$B$6/12,Inputs!$B$7*12,(Inputs!$B$4*(1-Inputs!$B$5)))*12))+D827*Inputs!$B$9+Inputs!$B$10*(1+Inputs!$B$15)^28+Inputs!$B$11*12*(1+Inputs!$B$15)^28+D827*Inputs!$B$12</f>
        <v>53835.3530353529</v>
      </c>
      <c r="E892" s="34" t="n">
        <f aca="false">IF(29&gt;Inputs!$B$7,0,(-PMT(Inputs!$B$6/12,Inputs!$B$7*12,(Inputs!$B$4*(1-Inputs!$B$5)))*12))+E827*Inputs!$B$9+Inputs!$B$10*(1+Inputs!$B$15)^28+Inputs!$B$11*12*(1+Inputs!$B$15)^28+E827*Inputs!$B$12</f>
        <v>53835.3530353529</v>
      </c>
      <c r="F892" s="34" t="n">
        <f aca="false">IF(29&gt;Inputs!$B$7,0,(-PMT(Inputs!$B$6/12,Inputs!$B$7*12,(Inputs!$B$4*(1-Inputs!$B$5)))*12))+F827*Inputs!$B$9+Inputs!$B$10*(1+Inputs!$B$15)^28+Inputs!$B$11*12*(1+Inputs!$B$15)^28+F827*Inputs!$B$12</f>
        <v>53835.3530353529</v>
      </c>
      <c r="G892" s="34" t="n">
        <f aca="false">IF(29&gt;Inputs!$B$7,0,(-PMT(Inputs!$B$6/12,Inputs!$B$7*12,(Inputs!$B$4*(1-Inputs!$B$5)))*12))+G827*Inputs!$B$9+Inputs!$B$10*(1+Inputs!$B$15)^28+Inputs!$B$11*12*(1+Inputs!$B$15)^28+G827*Inputs!$B$12</f>
        <v>53835.3530353529</v>
      </c>
    </row>
    <row r="893" customFormat="false" ht="15" hidden="true" customHeight="true" outlineLevel="0" collapsed="false">
      <c r="B893" s="34" t="n">
        <f aca="false">IF(30&gt;Inputs!$B$7,0,(-PMT(Inputs!$B$6/12,Inputs!$B$7*12,(Inputs!$B$4*(1-Inputs!$B$5)))*12))+B828*Inputs!$B$9+Inputs!$B$10*(1+Inputs!$B$15)^29+Inputs!$B$11*12*(1+Inputs!$B$15)^29+B828*Inputs!$B$12</f>
        <v>54604.8586143167</v>
      </c>
      <c r="C893" s="34" t="n">
        <f aca="false">IF(30&gt;Inputs!$B$7,0,(-PMT(Inputs!$B$6/12,Inputs!$B$7*12,(Inputs!$B$4*(1-Inputs!$B$5)))*12))+C828*Inputs!$B$9+Inputs!$B$10*(1+Inputs!$B$15)^29+Inputs!$B$11*12*(1+Inputs!$B$15)^29+C828*Inputs!$B$12</f>
        <v>54604.8586143167</v>
      </c>
      <c r="D893" s="34" t="n">
        <f aca="false">IF(30&gt;Inputs!$B$7,0,(-PMT(Inputs!$B$6/12,Inputs!$B$7*12,(Inputs!$B$4*(1-Inputs!$B$5)))*12))+D828*Inputs!$B$9+Inputs!$B$10*(1+Inputs!$B$15)^29+Inputs!$B$11*12*(1+Inputs!$B$15)^29+D828*Inputs!$B$12</f>
        <v>54604.8586143167</v>
      </c>
      <c r="E893" s="34" t="n">
        <f aca="false">IF(30&gt;Inputs!$B$7,0,(-PMT(Inputs!$B$6/12,Inputs!$B$7*12,(Inputs!$B$4*(1-Inputs!$B$5)))*12))+E828*Inputs!$B$9+Inputs!$B$10*(1+Inputs!$B$15)^29+Inputs!$B$11*12*(1+Inputs!$B$15)^29+E828*Inputs!$B$12</f>
        <v>54604.8586143167</v>
      </c>
      <c r="F893" s="34" t="n">
        <f aca="false">IF(30&gt;Inputs!$B$7,0,(-PMT(Inputs!$B$6/12,Inputs!$B$7*12,(Inputs!$B$4*(1-Inputs!$B$5)))*12))+F828*Inputs!$B$9+Inputs!$B$10*(1+Inputs!$B$15)^29+Inputs!$B$11*12*(1+Inputs!$B$15)^29+F828*Inputs!$B$12</f>
        <v>54604.8586143167</v>
      </c>
      <c r="G893" s="34" t="n">
        <f aca="false">IF(30&gt;Inputs!$B$7,0,(-PMT(Inputs!$B$6/12,Inputs!$B$7*12,(Inputs!$B$4*(1-Inputs!$B$5)))*12))+G828*Inputs!$B$9+Inputs!$B$10*(1+Inputs!$B$15)^29+Inputs!$B$11*12*(1+Inputs!$B$15)^29+G828*Inputs!$B$12</f>
        <v>54604.8586143167</v>
      </c>
    </row>
    <row r="894" customFormat="false" ht="15" hidden="true" customHeight="true" outlineLevel="0" collapsed="false"/>
    <row r="895" customFormat="false" ht="15" hidden="true" customHeight="true" outlineLevel="0" collapsed="false">
      <c r="A895" s="33" t="s">
        <v>94</v>
      </c>
      <c r="B895" s="34" t="n">
        <v>0</v>
      </c>
      <c r="C895" s="34" t="n">
        <v>0</v>
      </c>
      <c r="D895" s="34" t="n">
        <v>0</v>
      </c>
      <c r="E895" s="34" t="n">
        <v>0</v>
      </c>
      <c r="F895" s="34" t="n">
        <v>0</v>
      </c>
      <c r="G895" s="34" t="n">
        <v>0</v>
      </c>
    </row>
    <row r="896" customFormat="false" ht="15" hidden="true" customHeight="true" outlineLevel="0" collapsed="false">
      <c r="B896" s="34" t="n">
        <f aca="false">Inputs!$B$18*12*(1+Inputs!$B$19)^0+Inputs!$B$20*(1+Inputs!$B$15)^0</f>
        <v>27718</v>
      </c>
      <c r="C896" s="34" t="n">
        <f aca="false">Inputs!$B$18*12*(1+Inputs!$B$19)^0+Inputs!$B$20*(1+Inputs!$B$15)^0</f>
        <v>27718</v>
      </c>
      <c r="D896" s="34" t="n">
        <f aca="false">Inputs!$B$18*12*(1+Inputs!$B$19)^0+Inputs!$B$20*(1+Inputs!$B$15)^0</f>
        <v>27718</v>
      </c>
      <c r="E896" s="34" t="n">
        <f aca="false">Inputs!$B$18*12*(1+Inputs!$B$19)^0+Inputs!$B$20*(1+Inputs!$B$15)^0</f>
        <v>27718</v>
      </c>
      <c r="F896" s="34" t="n">
        <f aca="false">Inputs!$B$18*12*(1+Inputs!$B$19)^0+Inputs!$B$20*(1+Inputs!$B$15)^0</f>
        <v>27718</v>
      </c>
      <c r="G896" s="34" t="n">
        <f aca="false">Inputs!$B$18*12*(1+Inputs!$B$19)^0+Inputs!$B$20*(1+Inputs!$B$15)^0</f>
        <v>27718</v>
      </c>
    </row>
    <row r="897" customFormat="false" ht="15" hidden="true" customHeight="true" outlineLevel="0" collapsed="false">
      <c r="B897" s="34" t="n">
        <f aca="false">Inputs!$B$18*12*(1+Inputs!$B$19)^1+Inputs!$B$20*(1+Inputs!$B$15)^1</f>
        <v>28549.54</v>
      </c>
      <c r="C897" s="34" t="n">
        <f aca="false">Inputs!$B$18*12*(1+Inputs!$B$19)^1+Inputs!$B$20*(1+Inputs!$B$15)^1</f>
        <v>28549.54</v>
      </c>
      <c r="D897" s="34" t="n">
        <f aca="false">Inputs!$B$18*12*(1+Inputs!$B$19)^1+Inputs!$B$20*(1+Inputs!$B$15)^1</f>
        <v>28549.54</v>
      </c>
      <c r="E897" s="34" t="n">
        <f aca="false">Inputs!$B$18*12*(1+Inputs!$B$19)^1+Inputs!$B$20*(1+Inputs!$B$15)^1</f>
        <v>28549.54</v>
      </c>
      <c r="F897" s="34" t="n">
        <f aca="false">Inputs!$B$18*12*(1+Inputs!$B$19)^1+Inputs!$B$20*(1+Inputs!$B$15)^1</f>
        <v>28549.54</v>
      </c>
      <c r="G897" s="34" t="n">
        <f aca="false">Inputs!$B$18*12*(1+Inputs!$B$19)^1+Inputs!$B$20*(1+Inputs!$B$15)^1</f>
        <v>28549.54</v>
      </c>
    </row>
    <row r="898" customFormat="false" ht="15" hidden="true" customHeight="true" outlineLevel="0" collapsed="false">
      <c r="B898" s="34" t="n">
        <f aca="false">Inputs!$B$18*12*(1+Inputs!$B$19)^2+Inputs!$B$20*(1+Inputs!$B$15)^2</f>
        <v>29406.0262</v>
      </c>
      <c r="C898" s="34" t="n">
        <f aca="false">Inputs!$B$18*12*(1+Inputs!$B$19)^2+Inputs!$B$20*(1+Inputs!$B$15)^2</f>
        <v>29406.0262</v>
      </c>
      <c r="D898" s="34" t="n">
        <f aca="false">Inputs!$B$18*12*(1+Inputs!$B$19)^2+Inputs!$B$20*(1+Inputs!$B$15)^2</f>
        <v>29406.0262</v>
      </c>
      <c r="E898" s="34" t="n">
        <f aca="false">Inputs!$B$18*12*(1+Inputs!$B$19)^2+Inputs!$B$20*(1+Inputs!$B$15)^2</f>
        <v>29406.0262</v>
      </c>
      <c r="F898" s="34" t="n">
        <f aca="false">Inputs!$B$18*12*(1+Inputs!$B$19)^2+Inputs!$B$20*(1+Inputs!$B$15)^2</f>
        <v>29406.0262</v>
      </c>
      <c r="G898" s="34" t="n">
        <f aca="false">Inputs!$B$18*12*(1+Inputs!$B$19)^2+Inputs!$B$20*(1+Inputs!$B$15)^2</f>
        <v>29406.0262</v>
      </c>
    </row>
    <row r="899" customFormat="false" ht="15" hidden="true" customHeight="true" outlineLevel="0" collapsed="false">
      <c r="B899" s="34" t="n">
        <f aca="false">Inputs!$B$18*12*(1+Inputs!$B$19)^3+Inputs!$B$20*(1+Inputs!$B$15)^3</f>
        <v>30288.206986</v>
      </c>
      <c r="C899" s="34" t="n">
        <f aca="false">Inputs!$B$18*12*(1+Inputs!$B$19)^3+Inputs!$B$20*(1+Inputs!$B$15)^3</f>
        <v>30288.206986</v>
      </c>
      <c r="D899" s="34" t="n">
        <f aca="false">Inputs!$B$18*12*(1+Inputs!$B$19)^3+Inputs!$B$20*(1+Inputs!$B$15)^3</f>
        <v>30288.206986</v>
      </c>
      <c r="E899" s="34" t="n">
        <f aca="false">Inputs!$B$18*12*(1+Inputs!$B$19)^3+Inputs!$B$20*(1+Inputs!$B$15)^3</f>
        <v>30288.206986</v>
      </c>
      <c r="F899" s="34" t="n">
        <f aca="false">Inputs!$B$18*12*(1+Inputs!$B$19)^3+Inputs!$B$20*(1+Inputs!$B$15)^3</f>
        <v>30288.206986</v>
      </c>
      <c r="G899" s="34" t="n">
        <f aca="false">Inputs!$B$18*12*(1+Inputs!$B$19)^3+Inputs!$B$20*(1+Inputs!$B$15)^3</f>
        <v>30288.206986</v>
      </c>
    </row>
    <row r="900" customFormat="false" ht="15" hidden="true" customHeight="true" outlineLevel="0" collapsed="false">
      <c r="B900" s="34" t="n">
        <f aca="false">Inputs!$B$18*12*(1+Inputs!$B$19)^4+Inputs!$B$20*(1+Inputs!$B$15)^4</f>
        <v>31196.85319558</v>
      </c>
      <c r="C900" s="34" t="n">
        <f aca="false">Inputs!$B$18*12*(1+Inputs!$B$19)^4+Inputs!$B$20*(1+Inputs!$B$15)^4</f>
        <v>31196.85319558</v>
      </c>
      <c r="D900" s="34" t="n">
        <f aca="false">Inputs!$B$18*12*(1+Inputs!$B$19)^4+Inputs!$B$20*(1+Inputs!$B$15)^4</f>
        <v>31196.85319558</v>
      </c>
      <c r="E900" s="34" t="n">
        <f aca="false">Inputs!$B$18*12*(1+Inputs!$B$19)^4+Inputs!$B$20*(1+Inputs!$B$15)^4</f>
        <v>31196.85319558</v>
      </c>
      <c r="F900" s="34" t="n">
        <f aca="false">Inputs!$B$18*12*(1+Inputs!$B$19)^4+Inputs!$B$20*(1+Inputs!$B$15)^4</f>
        <v>31196.85319558</v>
      </c>
      <c r="G900" s="34" t="n">
        <f aca="false">Inputs!$B$18*12*(1+Inputs!$B$19)^4+Inputs!$B$20*(1+Inputs!$B$15)^4</f>
        <v>31196.85319558</v>
      </c>
    </row>
    <row r="901" customFormat="false" ht="15" hidden="true" customHeight="true" outlineLevel="0" collapsed="false">
      <c r="B901" s="34" t="n">
        <f aca="false">Inputs!$B$18*12*(1+Inputs!$B$19)^5+Inputs!$B$20*(1+Inputs!$B$15)^5</f>
        <v>32132.7587914474</v>
      </c>
      <c r="C901" s="34" t="n">
        <f aca="false">Inputs!$B$18*12*(1+Inputs!$B$19)^5+Inputs!$B$20*(1+Inputs!$B$15)^5</f>
        <v>32132.7587914474</v>
      </c>
      <c r="D901" s="34" t="n">
        <f aca="false">Inputs!$B$18*12*(1+Inputs!$B$19)^5+Inputs!$B$20*(1+Inputs!$B$15)^5</f>
        <v>32132.7587914474</v>
      </c>
      <c r="E901" s="34" t="n">
        <f aca="false">Inputs!$B$18*12*(1+Inputs!$B$19)^5+Inputs!$B$20*(1+Inputs!$B$15)^5</f>
        <v>32132.7587914474</v>
      </c>
      <c r="F901" s="34" t="n">
        <f aca="false">Inputs!$B$18*12*(1+Inputs!$B$19)^5+Inputs!$B$20*(1+Inputs!$B$15)^5</f>
        <v>32132.7587914474</v>
      </c>
      <c r="G901" s="34" t="n">
        <f aca="false">Inputs!$B$18*12*(1+Inputs!$B$19)^5+Inputs!$B$20*(1+Inputs!$B$15)^5</f>
        <v>32132.7587914474</v>
      </c>
    </row>
    <row r="902" customFormat="false" ht="15" hidden="true" customHeight="true" outlineLevel="0" collapsed="false">
      <c r="B902" s="34" t="n">
        <f aca="false">Inputs!$B$18*12*(1+Inputs!$B$19)^6+Inputs!$B$20*(1+Inputs!$B$15)^6</f>
        <v>33096.7415551908</v>
      </c>
      <c r="C902" s="34" t="n">
        <f aca="false">Inputs!$B$18*12*(1+Inputs!$B$19)^6+Inputs!$B$20*(1+Inputs!$B$15)^6</f>
        <v>33096.7415551908</v>
      </c>
      <c r="D902" s="34" t="n">
        <f aca="false">Inputs!$B$18*12*(1+Inputs!$B$19)^6+Inputs!$B$20*(1+Inputs!$B$15)^6</f>
        <v>33096.7415551908</v>
      </c>
      <c r="E902" s="34" t="n">
        <f aca="false">Inputs!$B$18*12*(1+Inputs!$B$19)^6+Inputs!$B$20*(1+Inputs!$B$15)^6</f>
        <v>33096.7415551908</v>
      </c>
      <c r="F902" s="34" t="n">
        <f aca="false">Inputs!$B$18*12*(1+Inputs!$B$19)^6+Inputs!$B$20*(1+Inputs!$B$15)^6</f>
        <v>33096.7415551908</v>
      </c>
      <c r="G902" s="34" t="n">
        <f aca="false">Inputs!$B$18*12*(1+Inputs!$B$19)^6+Inputs!$B$20*(1+Inputs!$B$15)^6</f>
        <v>33096.7415551908</v>
      </c>
    </row>
    <row r="903" customFormat="false" ht="15" hidden="true" customHeight="true" outlineLevel="0" collapsed="false">
      <c r="B903" s="34" t="n">
        <f aca="false">Inputs!$B$18*12*(1+Inputs!$B$19)^7+Inputs!$B$20*(1+Inputs!$B$15)^7</f>
        <v>34089.6438018466</v>
      </c>
      <c r="C903" s="34" t="n">
        <f aca="false">Inputs!$B$18*12*(1+Inputs!$B$19)^7+Inputs!$B$20*(1+Inputs!$B$15)^7</f>
        <v>34089.6438018466</v>
      </c>
      <c r="D903" s="34" t="n">
        <f aca="false">Inputs!$B$18*12*(1+Inputs!$B$19)^7+Inputs!$B$20*(1+Inputs!$B$15)^7</f>
        <v>34089.6438018466</v>
      </c>
      <c r="E903" s="34" t="n">
        <f aca="false">Inputs!$B$18*12*(1+Inputs!$B$19)^7+Inputs!$B$20*(1+Inputs!$B$15)^7</f>
        <v>34089.6438018466</v>
      </c>
      <c r="F903" s="34" t="n">
        <f aca="false">Inputs!$B$18*12*(1+Inputs!$B$19)^7+Inputs!$B$20*(1+Inputs!$B$15)^7</f>
        <v>34089.6438018466</v>
      </c>
      <c r="G903" s="34" t="n">
        <f aca="false">Inputs!$B$18*12*(1+Inputs!$B$19)^7+Inputs!$B$20*(1+Inputs!$B$15)^7</f>
        <v>34089.6438018466</v>
      </c>
    </row>
    <row r="904" customFormat="false" ht="15" hidden="true" customHeight="true" outlineLevel="0" collapsed="false">
      <c r="B904" s="34" t="n">
        <f aca="false">Inputs!$B$18*12*(1+Inputs!$B$19)^8+Inputs!$B$20*(1+Inputs!$B$15)^8</f>
        <v>35112.333115902</v>
      </c>
      <c r="C904" s="34" t="n">
        <f aca="false">Inputs!$B$18*12*(1+Inputs!$B$19)^8+Inputs!$B$20*(1+Inputs!$B$15)^8</f>
        <v>35112.333115902</v>
      </c>
      <c r="D904" s="34" t="n">
        <f aca="false">Inputs!$B$18*12*(1+Inputs!$B$19)^8+Inputs!$B$20*(1+Inputs!$B$15)^8</f>
        <v>35112.333115902</v>
      </c>
      <c r="E904" s="34" t="n">
        <f aca="false">Inputs!$B$18*12*(1+Inputs!$B$19)^8+Inputs!$B$20*(1+Inputs!$B$15)^8</f>
        <v>35112.333115902</v>
      </c>
      <c r="F904" s="34" t="n">
        <f aca="false">Inputs!$B$18*12*(1+Inputs!$B$19)^8+Inputs!$B$20*(1+Inputs!$B$15)^8</f>
        <v>35112.333115902</v>
      </c>
      <c r="G904" s="34" t="n">
        <f aca="false">Inputs!$B$18*12*(1+Inputs!$B$19)^8+Inputs!$B$20*(1+Inputs!$B$15)^8</f>
        <v>35112.333115902</v>
      </c>
    </row>
    <row r="905" customFormat="false" ht="15" hidden="true" customHeight="true" outlineLevel="0" collapsed="false">
      <c r="B905" s="34" t="n">
        <f aca="false">Inputs!$B$18*12*(1+Inputs!$B$19)^9+Inputs!$B$20*(1+Inputs!$B$15)^9</f>
        <v>36165.703109379</v>
      </c>
      <c r="C905" s="34" t="n">
        <f aca="false">Inputs!$B$18*12*(1+Inputs!$B$19)^9+Inputs!$B$20*(1+Inputs!$B$15)^9</f>
        <v>36165.703109379</v>
      </c>
      <c r="D905" s="34" t="n">
        <f aca="false">Inputs!$B$18*12*(1+Inputs!$B$19)^9+Inputs!$B$20*(1+Inputs!$B$15)^9</f>
        <v>36165.703109379</v>
      </c>
      <c r="E905" s="34" t="n">
        <f aca="false">Inputs!$B$18*12*(1+Inputs!$B$19)^9+Inputs!$B$20*(1+Inputs!$B$15)^9</f>
        <v>36165.703109379</v>
      </c>
      <c r="F905" s="34" t="n">
        <f aca="false">Inputs!$B$18*12*(1+Inputs!$B$19)^9+Inputs!$B$20*(1+Inputs!$B$15)^9</f>
        <v>36165.703109379</v>
      </c>
      <c r="G905" s="34" t="n">
        <f aca="false">Inputs!$B$18*12*(1+Inputs!$B$19)^9+Inputs!$B$20*(1+Inputs!$B$15)^9</f>
        <v>36165.703109379</v>
      </c>
    </row>
    <row r="906" customFormat="false" ht="15" hidden="true" customHeight="true" outlineLevel="0" collapsed="false">
      <c r="B906" s="34" t="n">
        <f aca="false">Inputs!$B$18*12*(1+Inputs!$B$19)^10+Inputs!$B$20*(1+Inputs!$B$15)^10</f>
        <v>37250.6742026604</v>
      </c>
      <c r="C906" s="34" t="n">
        <f aca="false">Inputs!$B$18*12*(1+Inputs!$B$19)^10+Inputs!$B$20*(1+Inputs!$B$15)^10</f>
        <v>37250.6742026604</v>
      </c>
      <c r="D906" s="34" t="n">
        <f aca="false">Inputs!$B$18*12*(1+Inputs!$B$19)^10+Inputs!$B$20*(1+Inputs!$B$15)^10</f>
        <v>37250.6742026604</v>
      </c>
      <c r="E906" s="34" t="n">
        <f aca="false">Inputs!$B$18*12*(1+Inputs!$B$19)^10+Inputs!$B$20*(1+Inputs!$B$15)^10</f>
        <v>37250.6742026604</v>
      </c>
      <c r="F906" s="34" t="n">
        <f aca="false">Inputs!$B$18*12*(1+Inputs!$B$19)^10+Inputs!$B$20*(1+Inputs!$B$15)^10</f>
        <v>37250.6742026604</v>
      </c>
      <c r="G906" s="34" t="n">
        <f aca="false">Inputs!$B$18*12*(1+Inputs!$B$19)^10+Inputs!$B$20*(1+Inputs!$B$15)^10</f>
        <v>37250.6742026604</v>
      </c>
    </row>
    <row r="907" customFormat="false" ht="15" hidden="true" customHeight="true" outlineLevel="0" collapsed="false">
      <c r="B907" s="34" t="n">
        <f aca="false">Inputs!$B$18*12*(1+Inputs!$B$19)^11+Inputs!$B$20*(1+Inputs!$B$15)^11</f>
        <v>38368.1944287402</v>
      </c>
      <c r="C907" s="34" t="n">
        <f aca="false">Inputs!$B$18*12*(1+Inputs!$B$19)^11+Inputs!$B$20*(1+Inputs!$B$15)^11</f>
        <v>38368.1944287402</v>
      </c>
      <c r="D907" s="34" t="n">
        <f aca="false">Inputs!$B$18*12*(1+Inputs!$B$19)^11+Inputs!$B$20*(1+Inputs!$B$15)^11</f>
        <v>38368.1944287402</v>
      </c>
      <c r="E907" s="34" t="n">
        <f aca="false">Inputs!$B$18*12*(1+Inputs!$B$19)^11+Inputs!$B$20*(1+Inputs!$B$15)^11</f>
        <v>38368.1944287402</v>
      </c>
      <c r="F907" s="34" t="n">
        <f aca="false">Inputs!$B$18*12*(1+Inputs!$B$19)^11+Inputs!$B$20*(1+Inputs!$B$15)^11</f>
        <v>38368.1944287402</v>
      </c>
      <c r="G907" s="34" t="n">
        <f aca="false">Inputs!$B$18*12*(1+Inputs!$B$19)^11+Inputs!$B$20*(1+Inputs!$B$15)^11</f>
        <v>38368.1944287402</v>
      </c>
    </row>
    <row r="908" customFormat="false" ht="15" hidden="true" customHeight="true" outlineLevel="0" collapsed="false">
      <c r="B908" s="34" t="n">
        <f aca="false">Inputs!$B$18*12*(1+Inputs!$B$19)^12+Inputs!$B$20*(1+Inputs!$B$15)^12</f>
        <v>39519.2402616024</v>
      </c>
      <c r="C908" s="34" t="n">
        <f aca="false">Inputs!$B$18*12*(1+Inputs!$B$19)^12+Inputs!$B$20*(1+Inputs!$B$15)^12</f>
        <v>39519.2402616024</v>
      </c>
      <c r="D908" s="34" t="n">
        <f aca="false">Inputs!$B$18*12*(1+Inputs!$B$19)^12+Inputs!$B$20*(1+Inputs!$B$15)^12</f>
        <v>39519.2402616024</v>
      </c>
      <c r="E908" s="34" t="n">
        <f aca="false">Inputs!$B$18*12*(1+Inputs!$B$19)^12+Inputs!$B$20*(1+Inputs!$B$15)^12</f>
        <v>39519.2402616024</v>
      </c>
      <c r="F908" s="34" t="n">
        <f aca="false">Inputs!$B$18*12*(1+Inputs!$B$19)^12+Inputs!$B$20*(1+Inputs!$B$15)^12</f>
        <v>39519.2402616024</v>
      </c>
      <c r="G908" s="34" t="n">
        <f aca="false">Inputs!$B$18*12*(1+Inputs!$B$19)^12+Inputs!$B$20*(1+Inputs!$B$15)^12</f>
        <v>39519.2402616024</v>
      </c>
    </row>
    <row r="909" customFormat="false" ht="15" hidden="true" customHeight="true" outlineLevel="0" collapsed="false">
      <c r="B909" s="34" t="n">
        <f aca="false">Inputs!$B$18*12*(1+Inputs!$B$19)^13+Inputs!$B$20*(1+Inputs!$B$15)^13</f>
        <v>40704.8174694505</v>
      </c>
      <c r="C909" s="34" t="n">
        <f aca="false">Inputs!$B$18*12*(1+Inputs!$B$19)^13+Inputs!$B$20*(1+Inputs!$B$15)^13</f>
        <v>40704.8174694505</v>
      </c>
      <c r="D909" s="34" t="n">
        <f aca="false">Inputs!$B$18*12*(1+Inputs!$B$19)^13+Inputs!$B$20*(1+Inputs!$B$15)^13</f>
        <v>40704.8174694505</v>
      </c>
      <c r="E909" s="34" t="n">
        <f aca="false">Inputs!$B$18*12*(1+Inputs!$B$19)^13+Inputs!$B$20*(1+Inputs!$B$15)^13</f>
        <v>40704.8174694505</v>
      </c>
      <c r="F909" s="34" t="n">
        <f aca="false">Inputs!$B$18*12*(1+Inputs!$B$19)^13+Inputs!$B$20*(1+Inputs!$B$15)^13</f>
        <v>40704.8174694505</v>
      </c>
      <c r="G909" s="34" t="n">
        <f aca="false">Inputs!$B$18*12*(1+Inputs!$B$19)^13+Inputs!$B$20*(1+Inputs!$B$15)^13</f>
        <v>40704.8174694505</v>
      </c>
    </row>
    <row r="910" customFormat="false" ht="15" hidden="true" customHeight="true" outlineLevel="0" collapsed="false">
      <c r="B910" s="34" t="n">
        <f aca="false">Inputs!$B$18*12*(1+Inputs!$B$19)^14+Inputs!$B$20*(1+Inputs!$B$15)^14</f>
        <v>41925.961993534</v>
      </c>
      <c r="C910" s="34" t="n">
        <f aca="false">Inputs!$B$18*12*(1+Inputs!$B$19)^14+Inputs!$B$20*(1+Inputs!$B$15)^14</f>
        <v>41925.961993534</v>
      </c>
      <c r="D910" s="34" t="n">
        <f aca="false">Inputs!$B$18*12*(1+Inputs!$B$19)^14+Inputs!$B$20*(1+Inputs!$B$15)^14</f>
        <v>41925.961993534</v>
      </c>
      <c r="E910" s="34" t="n">
        <f aca="false">Inputs!$B$18*12*(1+Inputs!$B$19)^14+Inputs!$B$20*(1+Inputs!$B$15)^14</f>
        <v>41925.961993534</v>
      </c>
      <c r="F910" s="34" t="n">
        <f aca="false">Inputs!$B$18*12*(1+Inputs!$B$19)^14+Inputs!$B$20*(1+Inputs!$B$15)^14</f>
        <v>41925.961993534</v>
      </c>
      <c r="G910" s="34" t="n">
        <f aca="false">Inputs!$B$18*12*(1+Inputs!$B$19)^14+Inputs!$B$20*(1+Inputs!$B$15)^14</f>
        <v>41925.961993534</v>
      </c>
    </row>
    <row r="911" customFormat="false" ht="15" hidden="true" customHeight="true" outlineLevel="0" collapsed="false">
      <c r="B911" s="34" t="n">
        <f aca="false">Inputs!$B$18*12*(1+Inputs!$B$19)^15+Inputs!$B$20*(1+Inputs!$B$15)^15</f>
        <v>43183.74085334</v>
      </c>
      <c r="C911" s="34" t="n">
        <f aca="false">Inputs!$B$18*12*(1+Inputs!$B$19)^15+Inputs!$B$20*(1+Inputs!$B$15)^15</f>
        <v>43183.74085334</v>
      </c>
      <c r="D911" s="34" t="n">
        <f aca="false">Inputs!$B$18*12*(1+Inputs!$B$19)^15+Inputs!$B$20*(1+Inputs!$B$15)^15</f>
        <v>43183.74085334</v>
      </c>
      <c r="E911" s="34" t="n">
        <f aca="false">Inputs!$B$18*12*(1+Inputs!$B$19)^15+Inputs!$B$20*(1+Inputs!$B$15)^15</f>
        <v>43183.74085334</v>
      </c>
      <c r="F911" s="34" t="n">
        <f aca="false">Inputs!$B$18*12*(1+Inputs!$B$19)^15+Inputs!$B$20*(1+Inputs!$B$15)^15</f>
        <v>43183.74085334</v>
      </c>
      <c r="G911" s="34" t="n">
        <f aca="false">Inputs!$B$18*12*(1+Inputs!$B$19)^15+Inputs!$B$20*(1+Inputs!$B$15)^15</f>
        <v>43183.74085334</v>
      </c>
    </row>
    <row r="912" customFormat="false" ht="15" hidden="true" customHeight="true" outlineLevel="0" collapsed="false">
      <c r="B912" s="34" t="n">
        <f aca="false">Inputs!$B$18*12*(1+Inputs!$B$19)^16+Inputs!$B$20*(1+Inputs!$B$15)^16</f>
        <v>44479.2530789402</v>
      </c>
      <c r="C912" s="34" t="n">
        <f aca="false">Inputs!$B$18*12*(1+Inputs!$B$19)^16+Inputs!$B$20*(1+Inputs!$B$15)^16</f>
        <v>44479.2530789402</v>
      </c>
      <c r="D912" s="34" t="n">
        <f aca="false">Inputs!$B$18*12*(1+Inputs!$B$19)^16+Inputs!$B$20*(1+Inputs!$B$15)^16</f>
        <v>44479.2530789402</v>
      </c>
      <c r="E912" s="34" t="n">
        <f aca="false">Inputs!$B$18*12*(1+Inputs!$B$19)^16+Inputs!$B$20*(1+Inputs!$B$15)^16</f>
        <v>44479.2530789402</v>
      </c>
      <c r="F912" s="34" t="n">
        <f aca="false">Inputs!$B$18*12*(1+Inputs!$B$19)^16+Inputs!$B$20*(1+Inputs!$B$15)^16</f>
        <v>44479.2530789402</v>
      </c>
      <c r="G912" s="34" t="n">
        <f aca="false">Inputs!$B$18*12*(1+Inputs!$B$19)^16+Inputs!$B$20*(1+Inputs!$B$15)^16</f>
        <v>44479.2530789402</v>
      </c>
    </row>
    <row r="913" customFormat="false" ht="15" hidden="true" customHeight="true" outlineLevel="0" collapsed="false">
      <c r="B913" s="34" t="n">
        <f aca="false">Inputs!$B$18*12*(1+Inputs!$B$19)^17+Inputs!$B$20*(1+Inputs!$B$15)^17</f>
        <v>45813.6306713084</v>
      </c>
      <c r="C913" s="34" t="n">
        <f aca="false">Inputs!$B$18*12*(1+Inputs!$B$19)^17+Inputs!$B$20*(1+Inputs!$B$15)^17</f>
        <v>45813.6306713084</v>
      </c>
      <c r="D913" s="34" t="n">
        <f aca="false">Inputs!$B$18*12*(1+Inputs!$B$19)^17+Inputs!$B$20*(1+Inputs!$B$15)^17</f>
        <v>45813.6306713084</v>
      </c>
      <c r="E913" s="34" t="n">
        <f aca="false">Inputs!$B$18*12*(1+Inputs!$B$19)^17+Inputs!$B$20*(1+Inputs!$B$15)^17</f>
        <v>45813.6306713084</v>
      </c>
      <c r="F913" s="34" t="n">
        <f aca="false">Inputs!$B$18*12*(1+Inputs!$B$19)^17+Inputs!$B$20*(1+Inputs!$B$15)^17</f>
        <v>45813.6306713084</v>
      </c>
      <c r="G913" s="34" t="n">
        <f aca="false">Inputs!$B$18*12*(1+Inputs!$B$19)^17+Inputs!$B$20*(1+Inputs!$B$15)^17</f>
        <v>45813.6306713084</v>
      </c>
    </row>
    <row r="914" customFormat="false" ht="15" hidden="true" customHeight="true" outlineLevel="0" collapsed="false">
      <c r="B914" s="34" t="n">
        <f aca="false">Inputs!$B$18*12*(1+Inputs!$B$19)^18+Inputs!$B$20*(1+Inputs!$B$15)^18</f>
        <v>47188.0395914477</v>
      </c>
      <c r="C914" s="34" t="n">
        <f aca="false">Inputs!$B$18*12*(1+Inputs!$B$19)^18+Inputs!$B$20*(1+Inputs!$B$15)^18</f>
        <v>47188.0395914477</v>
      </c>
      <c r="D914" s="34" t="n">
        <f aca="false">Inputs!$B$18*12*(1+Inputs!$B$19)^18+Inputs!$B$20*(1+Inputs!$B$15)^18</f>
        <v>47188.0395914477</v>
      </c>
      <c r="E914" s="34" t="n">
        <f aca="false">Inputs!$B$18*12*(1+Inputs!$B$19)^18+Inputs!$B$20*(1+Inputs!$B$15)^18</f>
        <v>47188.0395914477</v>
      </c>
      <c r="F914" s="34" t="n">
        <f aca="false">Inputs!$B$18*12*(1+Inputs!$B$19)^18+Inputs!$B$20*(1+Inputs!$B$15)^18</f>
        <v>47188.0395914477</v>
      </c>
      <c r="G914" s="34" t="n">
        <f aca="false">Inputs!$B$18*12*(1+Inputs!$B$19)^18+Inputs!$B$20*(1+Inputs!$B$15)^18</f>
        <v>47188.0395914477</v>
      </c>
    </row>
    <row r="915" customFormat="false" ht="15" hidden="true" customHeight="true" outlineLevel="0" collapsed="false">
      <c r="B915" s="34" t="n">
        <f aca="false">Inputs!$B$18*12*(1+Inputs!$B$19)^19+Inputs!$B$20*(1+Inputs!$B$15)^19</f>
        <v>48603.6807791911</v>
      </c>
      <c r="C915" s="34" t="n">
        <f aca="false">Inputs!$B$18*12*(1+Inputs!$B$19)^19+Inputs!$B$20*(1+Inputs!$B$15)^19</f>
        <v>48603.6807791911</v>
      </c>
      <c r="D915" s="34" t="n">
        <f aca="false">Inputs!$B$18*12*(1+Inputs!$B$19)^19+Inputs!$B$20*(1+Inputs!$B$15)^19</f>
        <v>48603.6807791911</v>
      </c>
      <c r="E915" s="34" t="n">
        <f aca="false">Inputs!$B$18*12*(1+Inputs!$B$19)^19+Inputs!$B$20*(1+Inputs!$B$15)^19</f>
        <v>48603.6807791911</v>
      </c>
      <c r="F915" s="34" t="n">
        <f aca="false">Inputs!$B$18*12*(1+Inputs!$B$19)^19+Inputs!$B$20*(1+Inputs!$B$15)^19</f>
        <v>48603.6807791911</v>
      </c>
      <c r="G915" s="34" t="n">
        <f aca="false">Inputs!$B$18*12*(1+Inputs!$B$19)^19+Inputs!$B$20*(1+Inputs!$B$15)^19</f>
        <v>48603.6807791911</v>
      </c>
    </row>
    <row r="916" customFormat="false" ht="15" hidden="true" customHeight="true" outlineLevel="0" collapsed="false">
      <c r="B916" s="34" t="n">
        <f aca="false">Inputs!$B$18*12*(1+Inputs!$B$19)^20+Inputs!$B$20*(1+Inputs!$B$15)^20</f>
        <v>50061.7912025668</v>
      </c>
      <c r="C916" s="34" t="n">
        <f aca="false">Inputs!$B$18*12*(1+Inputs!$B$19)^20+Inputs!$B$20*(1+Inputs!$B$15)^20</f>
        <v>50061.7912025668</v>
      </c>
      <c r="D916" s="34" t="n">
        <f aca="false">Inputs!$B$18*12*(1+Inputs!$B$19)^20+Inputs!$B$20*(1+Inputs!$B$15)^20</f>
        <v>50061.7912025668</v>
      </c>
      <c r="E916" s="34" t="n">
        <f aca="false">Inputs!$B$18*12*(1+Inputs!$B$19)^20+Inputs!$B$20*(1+Inputs!$B$15)^20</f>
        <v>50061.7912025668</v>
      </c>
      <c r="F916" s="34" t="n">
        <f aca="false">Inputs!$B$18*12*(1+Inputs!$B$19)^20+Inputs!$B$20*(1+Inputs!$B$15)^20</f>
        <v>50061.7912025668</v>
      </c>
      <c r="G916" s="34" t="n">
        <f aca="false">Inputs!$B$18*12*(1+Inputs!$B$19)^20+Inputs!$B$20*(1+Inputs!$B$15)^20</f>
        <v>50061.7912025668</v>
      </c>
    </row>
    <row r="917" customFormat="false" ht="15" hidden="true" customHeight="true" outlineLevel="0" collapsed="false">
      <c r="B917" s="34" t="n">
        <f aca="false">Inputs!$B$18*12*(1+Inputs!$B$19)^21+Inputs!$B$20*(1+Inputs!$B$15)^21</f>
        <v>51563.6449386439</v>
      </c>
      <c r="C917" s="34" t="n">
        <f aca="false">Inputs!$B$18*12*(1+Inputs!$B$19)^21+Inputs!$B$20*(1+Inputs!$B$15)^21</f>
        <v>51563.6449386439</v>
      </c>
      <c r="D917" s="34" t="n">
        <f aca="false">Inputs!$B$18*12*(1+Inputs!$B$19)^21+Inputs!$B$20*(1+Inputs!$B$15)^21</f>
        <v>51563.6449386439</v>
      </c>
      <c r="E917" s="34" t="n">
        <f aca="false">Inputs!$B$18*12*(1+Inputs!$B$19)^21+Inputs!$B$20*(1+Inputs!$B$15)^21</f>
        <v>51563.6449386439</v>
      </c>
      <c r="F917" s="34" t="n">
        <f aca="false">Inputs!$B$18*12*(1+Inputs!$B$19)^21+Inputs!$B$20*(1+Inputs!$B$15)^21</f>
        <v>51563.6449386439</v>
      </c>
      <c r="G917" s="34" t="n">
        <f aca="false">Inputs!$B$18*12*(1+Inputs!$B$19)^21+Inputs!$B$20*(1+Inputs!$B$15)^21</f>
        <v>51563.6449386439</v>
      </c>
    </row>
    <row r="918" customFormat="false" ht="15" hidden="true" customHeight="true" outlineLevel="0" collapsed="false">
      <c r="B918" s="34" t="n">
        <f aca="false">Inputs!$B$18*12*(1+Inputs!$B$19)^22+Inputs!$B$20*(1+Inputs!$B$15)^22</f>
        <v>53110.5542868032</v>
      </c>
      <c r="C918" s="34" t="n">
        <f aca="false">Inputs!$B$18*12*(1+Inputs!$B$19)^22+Inputs!$B$20*(1+Inputs!$B$15)^22</f>
        <v>53110.5542868032</v>
      </c>
      <c r="D918" s="34" t="n">
        <f aca="false">Inputs!$B$18*12*(1+Inputs!$B$19)^22+Inputs!$B$20*(1+Inputs!$B$15)^22</f>
        <v>53110.5542868032</v>
      </c>
      <c r="E918" s="34" t="n">
        <f aca="false">Inputs!$B$18*12*(1+Inputs!$B$19)^22+Inputs!$B$20*(1+Inputs!$B$15)^22</f>
        <v>53110.5542868032</v>
      </c>
      <c r="F918" s="34" t="n">
        <f aca="false">Inputs!$B$18*12*(1+Inputs!$B$19)^22+Inputs!$B$20*(1+Inputs!$B$15)^22</f>
        <v>53110.5542868032</v>
      </c>
      <c r="G918" s="34" t="n">
        <f aca="false">Inputs!$B$18*12*(1+Inputs!$B$19)^22+Inputs!$B$20*(1+Inputs!$B$15)^22</f>
        <v>53110.5542868032</v>
      </c>
    </row>
    <row r="919" customFormat="false" ht="15" hidden="true" customHeight="true" outlineLevel="0" collapsed="false">
      <c r="B919" s="34" t="n">
        <f aca="false">Inputs!$B$18*12*(1+Inputs!$B$19)^23+Inputs!$B$20*(1+Inputs!$B$15)^23</f>
        <v>54703.8709154073</v>
      </c>
      <c r="C919" s="34" t="n">
        <f aca="false">Inputs!$B$18*12*(1+Inputs!$B$19)^23+Inputs!$B$20*(1+Inputs!$B$15)^23</f>
        <v>54703.8709154073</v>
      </c>
      <c r="D919" s="34" t="n">
        <f aca="false">Inputs!$B$18*12*(1+Inputs!$B$19)^23+Inputs!$B$20*(1+Inputs!$B$15)^23</f>
        <v>54703.8709154073</v>
      </c>
      <c r="E919" s="34" t="n">
        <f aca="false">Inputs!$B$18*12*(1+Inputs!$B$19)^23+Inputs!$B$20*(1+Inputs!$B$15)^23</f>
        <v>54703.8709154073</v>
      </c>
      <c r="F919" s="34" t="n">
        <f aca="false">Inputs!$B$18*12*(1+Inputs!$B$19)^23+Inputs!$B$20*(1+Inputs!$B$15)^23</f>
        <v>54703.8709154073</v>
      </c>
      <c r="G919" s="34" t="n">
        <f aca="false">Inputs!$B$18*12*(1+Inputs!$B$19)^23+Inputs!$B$20*(1+Inputs!$B$15)^23</f>
        <v>54703.8709154073</v>
      </c>
    </row>
    <row r="920" customFormat="false" ht="15" hidden="true" customHeight="true" outlineLevel="0" collapsed="false">
      <c r="B920" s="34" t="n">
        <f aca="false">Inputs!$B$18*12*(1+Inputs!$B$19)^24+Inputs!$B$20*(1+Inputs!$B$15)^24</f>
        <v>56344.9870428695</v>
      </c>
      <c r="C920" s="34" t="n">
        <f aca="false">Inputs!$B$18*12*(1+Inputs!$B$19)^24+Inputs!$B$20*(1+Inputs!$B$15)^24</f>
        <v>56344.9870428695</v>
      </c>
      <c r="D920" s="34" t="n">
        <f aca="false">Inputs!$B$18*12*(1+Inputs!$B$19)^24+Inputs!$B$20*(1+Inputs!$B$15)^24</f>
        <v>56344.9870428695</v>
      </c>
      <c r="E920" s="34" t="n">
        <f aca="false">Inputs!$B$18*12*(1+Inputs!$B$19)^24+Inputs!$B$20*(1+Inputs!$B$15)^24</f>
        <v>56344.9870428695</v>
      </c>
      <c r="F920" s="34" t="n">
        <f aca="false">Inputs!$B$18*12*(1+Inputs!$B$19)^24+Inputs!$B$20*(1+Inputs!$B$15)^24</f>
        <v>56344.9870428695</v>
      </c>
      <c r="G920" s="34" t="n">
        <f aca="false">Inputs!$B$18*12*(1+Inputs!$B$19)^24+Inputs!$B$20*(1+Inputs!$B$15)^24</f>
        <v>56344.9870428695</v>
      </c>
    </row>
    <row r="921" customFormat="false" ht="15" hidden="true" customHeight="true" outlineLevel="0" collapsed="false">
      <c r="B921" s="34" t="n">
        <f aca="false">Inputs!$B$18*12*(1+Inputs!$B$19)^25+Inputs!$B$20*(1+Inputs!$B$15)^25</f>
        <v>58035.3366541556</v>
      </c>
      <c r="C921" s="34" t="n">
        <f aca="false">Inputs!$B$18*12*(1+Inputs!$B$19)^25+Inputs!$B$20*(1+Inputs!$B$15)^25</f>
        <v>58035.3366541556</v>
      </c>
      <c r="D921" s="34" t="n">
        <f aca="false">Inputs!$B$18*12*(1+Inputs!$B$19)^25+Inputs!$B$20*(1+Inputs!$B$15)^25</f>
        <v>58035.3366541556</v>
      </c>
      <c r="E921" s="34" t="n">
        <f aca="false">Inputs!$B$18*12*(1+Inputs!$B$19)^25+Inputs!$B$20*(1+Inputs!$B$15)^25</f>
        <v>58035.3366541556</v>
      </c>
      <c r="F921" s="34" t="n">
        <f aca="false">Inputs!$B$18*12*(1+Inputs!$B$19)^25+Inputs!$B$20*(1+Inputs!$B$15)^25</f>
        <v>58035.3366541556</v>
      </c>
      <c r="G921" s="34" t="n">
        <f aca="false">Inputs!$B$18*12*(1+Inputs!$B$19)^25+Inputs!$B$20*(1+Inputs!$B$15)^25</f>
        <v>58035.3366541556</v>
      </c>
    </row>
    <row r="922" customFormat="false" ht="15" hidden="true" customHeight="true" outlineLevel="0" collapsed="false">
      <c r="B922" s="34" t="n">
        <f aca="false">Inputs!$B$18*12*(1+Inputs!$B$19)^26+Inputs!$B$20*(1+Inputs!$B$15)^26</f>
        <v>59776.3967537802</v>
      </c>
      <c r="C922" s="34" t="n">
        <f aca="false">Inputs!$B$18*12*(1+Inputs!$B$19)^26+Inputs!$B$20*(1+Inputs!$B$15)^26</f>
        <v>59776.3967537802</v>
      </c>
      <c r="D922" s="34" t="n">
        <f aca="false">Inputs!$B$18*12*(1+Inputs!$B$19)^26+Inputs!$B$20*(1+Inputs!$B$15)^26</f>
        <v>59776.3967537802</v>
      </c>
      <c r="E922" s="34" t="n">
        <f aca="false">Inputs!$B$18*12*(1+Inputs!$B$19)^26+Inputs!$B$20*(1+Inputs!$B$15)^26</f>
        <v>59776.3967537802</v>
      </c>
      <c r="F922" s="34" t="n">
        <f aca="false">Inputs!$B$18*12*(1+Inputs!$B$19)^26+Inputs!$B$20*(1+Inputs!$B$15)^26</f>
        <v>59776.3967537802</v>
      </c>
      <c r="G922" s="34" t="n">
        <f aca="false">Inputs!$B$18*12*(1+Inputs!$B$19)^26+Inputs!$B$20*(1+Inputs!$B$15)^26</f>
        <v>59776.3967537802</v>
      </c>
    </row>
    <row r="923" customFormat="false" ht="15" hidden="true" customHeight="true" outlineLevel="0" collapsed="false">
      <c r="B923" s="34" t="n">
        <f aca="false">Inputs!$B$18*12*(1+Inputs!$B$19)^27+Inputs!$B$20*(1+Inputs!$B$15)^27</f>
        <v>61569.6886563937</v>
      </c>
      <c r="C923" s="34" t="n">
        <f aca="false">Inputs!$B$18*12*(1+Inputs!$B$19)^27+Inputs!$B$20*(1+Inputs!$B$15)^27</f>
        <v>61569.6886563937</v>
      </c>
      <c r="D923" s="34" t="n">
        <f aca="false">Inputs!$B$18*12*(1+Inputs!$B$19)^27+Inputs!$B$20*(1+Inputs!$B$15)^27</f>
        <v>61569.6886563937</v>
      </c>
      <c r="E923" s="34" t="n">
        <f aca="false">Inputs!$B$18*12*(1+Inputs!$B$19)^27+Inputs!$B$20*(1+Inputs!$B$15)^27</f>
        <v>61569.6886563937</v>
      </c>
      <c r="F923" s="34" t="n">
        <f aca="false">Inputs!$B$18*12*(1+Inputs!$B$19)^27+Inputs!$B$20*(1+Inputs!$B$15)^27</f>
        <v>61569.6886563937</v>
      </c>
      <c r="G923" s="34" t="n">
        <f aca="false">Inputs!$B$18*12*(1+Inputs!$B$19)^27+Inputs!$B$20*(1+Inputs!$B$15)^27</f>
        <v>61569.6886563937</v>
      </c>
    </row>
    <row r="924" customFormat="false" ht="15" hidden="true" customHeight="true" outlineLevel="0" collapsed="false">
      <c r="B924" s="34" t="n">
        <f aca="false">Inputs!$B$18*12*(1+Inputs!$B$19)^28+Inputs!$B$20*(1+Inputs!$B$15)^28</f>
        <v>63416.7793160855</v>
      </c>
      <c r="C924" s="34" t="n">
        <f aca="false">Inputs!$B$18*12*(1+Inputs!$B$19)^28+Inputs!$B$20*(1+Inputs!$B$15)^28</f>
        <v>63416.7793160855</v>
      </c>
      <c r="D924" s="34" t="n">
        <f aca="false">Inputs!$B$18*12*(1+Inputs!$B$19)^28+Inputs!$B$20*(1+Inputs!$B$15)^28</f>
        <v>63416.7793160855</v>
      </c>
      <c r="E924" s="34" t="n">
        <f aca="false">Inputs!$B$18*12*(1+Inputs!$B$19)^28+Inputs!$B$20*(1+Inputs!$B$15)^28</f>
        <v>63416.7793160855</v>
      </c>
      <c r="F924" s="34" t="n">
        <f aca="false">Inputs!$B$18*12*(1+Inputs!$B$19)^28+Inputs!$B$20*(1+Inputs!$B$15)^28</f>
        <v>63416.7793160855</v>
      </c>
      <c r="G924" s="34" t="n">
        <f aca="false">Inputs!$B$18*12*(1+Inputs!$B$19)^28+Inputs!$B$20*(1+Inputs!$B$15)^28</f>
        <v>63416.7793160855</v>
      </c>
    </row>
    <row r="925" customFormat="false" ht="15" hidden="true" customHeight="true" outlineLevel="0" collapsed="false">
      <c r="B925" s="34" t="n">
        <f aca="false">Inputs!$B$18*12*(1+Inputs!$B$19)^29+Inputs!$B$20*(1+Inputs!$B$15)^29</f>
        <v>65319.282695568</v>
      </c>
      <c r="C925" s="34" t="n">
        <f aca="false">Inputs!$B$18*12*(1+Inputs!$B$19)^29+Inputs!$B$20*(1+Inputs!$B$15)^29</f>
        <v>65319.282695568</v>
      </c>
      <c r="D925" s="34" t="n">
        <f aca="false">Inputs!$B$18*12*(1+Inputs!$B$19)^29+Inputs!$B$20*(1+Inputs!$B$15)^29</f>
        <v>65319.282695568</v>
      </c>
      <c r="E925" s="34" t="n">
        <f aca="false">Inputs!$B$18*12*(1+Inputs!$B$19)^29+Inputs!$B$20*(1+Inputs!$B$15)^29</f>
        <v>65319.282695568</v>
      </c>
      <c r="F925" s="34" t="n">
        <f aca="false">Inputs!$B$18*12*(1+Inputs!$B$19)^29+Inputs!$B$20*(1+Inputs!$B$15)^29</f>
        <v>65319.282695568</v>
      </c>
      <c r="G925" s="34" t="n">
        <f aca="false">Inputs!$B$18*12*(1+Inputs!$B$19)^29+Inputs!$B$20*(1+Inputs!$B$15)^29</f>
        <v>65319.282695568</v>
      </c>
    </row>
    <row r="926" customFormat="false" ht="15" hidden="true" customHeight="true" outlineLevel="0" collapsed="false"/>
    <row r="927" customFormat="false" ht="15" hidden="true" customHeight="true" outlineLevel="0" collapsed="false">
      <c r="A927" s="33" t="s">
        <v>95</v>
      </c>
      <c r="B927" s="34" t="n">
        <f aca="false">Inputs!$B$4*Inputs!$B$5+Inputs!$B$4*Inputs!$B$8</f>
        <v>98693</v>
      </c>
      <c r="C927" s="34" t="n">
        <f aca="false">Inputs!$B$4*Inputs!$B$5+Inputs!$B$4*Inputs!$B$8</f>
        <v>98693</v>
      </c>
      <c r="D927" s="34" t="n">
        <f aca="false">Inputs!$B$4*Inputs!$B$5+Inputs!$B$4*Inputs!$B$8</f>
        <v>98693</v>
      </c>
      <c r="E927" s="34" t="n">
        <f aca="false">Inputs!$B$4*Inputs!$B$5+Inputs!$B$4*Inputs!$B$8</f>
        <v>98693</v>
      </c>
      <c r="F927" s="34" t="n">
        <f aca="false">Inputs!$B$4*Inputs!$B$5+Inputs!$B$4*Inputs!$B$8</f>
        <v>98693</v>
      </c>
      <c r="G927" s="34" t="n">
        <f aca="false">Inputs!$B$4*Inputs!$B$5+Inputs!$B$4*Inputs!$B$8</f>
        <v>98693</v>
      </c>
    </row>
    <row r="928" customFormat="false" ht="15" hidden="true" customHeight="true" outlineLevel="0" collapsed="false">
      <c r="B928" s="34" t="n">
        <f aca="false">B927*(1+B$794)+MAX(B864-B896,0)</f>
        <v>113332.057069895</v>
      </c>
      <c r="C928" s="34" t="n">
        <f aca="false">C927*(1+C$794)+MAX(C864-C896,0)</f>
        <v>114318.987069895</v>
      </c>
      <c r="D928" s="34" t="n">
        <f aca="false">D927*(1+D$794)+MAX(D864-D896,0)</f>
        <v>115305.917069895</v>
      </c>
      <c r="E928" s="34" t="n">
        <f aca="false">E927*(1+E$794)+MAX(E864-E896,0)</f>
        <v>116292.847069895</v>
      </c>
      <c r="F928" s="34" t="n">
        <f aca="false">F927*(1+F$794)+MAX(F864-F896,0)</f>
        <v>117279.777069895</v>
      </c>
      <c r="G928" s="34" t="n">
        <f aca="false">G927*(1+G$794)+MAX(G864-G896,0)</f>
        <v>118266.707069895</v>
      </c>
    </row>
    <row r="929" customFormat="false" ht="15" hidden="true" customHeight="true" outlineLevel="0" collapsed="false">
      <c r="B929" s="34" t="n">
        <f aca="false">B928*(1+B$794)+MAX(B865-B897,0)</f>
        <v>127915.078851887</v>
      </c>
      <c r="C929" s="34" t="n">
        <f aca="false">C928*(1+C$794)+MAX(C865-C897,0)</f>
        <v>130074.806622586</v>
      </c>
      <c r="D929" s="34" t="n">
        <f aca="false">D928*(1+D$794)+MAX(D865-D897,0)</f>
        <v>132254.272993285</v>
      </c>
      <c r="E929" s="34" t="n">
        <f aca="false">E928*(1+E$794)+MAX(E865-E897,0)</f>
        <v>134453.477963984</v>
      </c>
      <c r="F929" s="34" t="n">
        <f aca="false">F928*(1+F$794)+MAX(F865-F897,0)</f>
        <v>136672.421534682</v>
      </c>
      <c r="G929" s="34" t="n">
        <f aca="false">G928*(1+G$794)+MAX(G865-G897,0)</f>
        <v>138911.103705381</v>
      </c>
    </row>
    <row r="930" customFormat="false" ht="15" hidden="true" customHeight="true" outlineLevel="0" collapsed="false">
      <c r="B930" s="34" t="n">
        <f aca="false">B929*(1+B$794)+MAX(B866-B898,0)</f>
        <v>142425.528077338</v>
      </c>
      <c r="C930" s="34" t="n">
        <f aca="false">C929*(1+C$794)+MAX(C866-C898,0)</f>
        <v>145950.795747384</v>
      </c>
      <c r="D930" s="34" t="n">
        <f aca="false">D929*(1+D$794)+MAX(D866-D898,0)</f>
        <v>149539.983502844</v>
      </c>
      <c r="E930" s="34" t="n">
        <f aca="false">E929*(1+E$794)+MAX(E866-E898,0)</f>
        <v>153193.683501717</v>
      </c>
      <c r="F930" s="34" t="n">
        <f aca="false">F929*(1+F$794)+MAX(F866-F898,0)</f>
        <v>156912.487902005</v>
      </c>
      <c r="G930" s="34" t="n">
        <f aca="false">G929*(1+G$794)+MAX(G866-G898,0)</f>
        <v>160696.988861707</v>
      </c>
    </row>
    <row r="931" customFormat="false" ht="15" hidden="true" customHeight="true" outlineLevel="0" collapsed="false">
      <c r="B931" s="34" t="n">
        <f aca="false">B930*(1+B$794)+MAX(B867-B899,0)</f>
        <v>156845.925673253</v>
      </c>
      <c r="C931" s="34" t="n">
        <f aca="false">C930*(1+C$794)+MAX(C867-C899,0)</f>
        <v>161936.459330874</v>
      </c>
      <c r="D931" s="34" t="n">
        <f aca="false">D930*(1+D$794)+MAX(D867-D899,0)</f>
        <v>167164.614431581</v>
      </c>
      <c r="E931" s="34" t="n">
        <f aca="false">E930*(1+E$794)+MAX(E867-E899,0)</f>
        <v>172532.936265415</v>
      </c>
      <c r="F931" s="34" t="n">
        <f aca="false">F930*(1+F$794)+MAX(F867-F899,0)</f>
        <v>178043.99380874</v>
      </c>
      <c r="G931" s="34" t="n">
        <f aca="false">G930*(1+G$794)+MAX(G867-G899,0)</f>
        <v>183700.379724238</v>
      </c>
    </row>
    <row r="932" customFormat="false" ht="15" hidden="true" customHeight="true" outlineLevel="0" collapsed="false">
      <c r="B932" s="34" t="n">
        <f aca="false">B931*(1+B$794)+MAX(B868-B900,0)</f>
        <v>171157.809137557</v>
      </c>
      <c r="C932" s="34" t="n">
        <f aca="false">C931*(1+C$794)+MAX(C868-C900,0)</f>
        <v>178020.423398215</v>
      </c>
      <c r="D932" s="34" t="n">
        <f aca="false">D931*(1+D$794)+MAX(D868-D900,0)</f>
        <v>185129.350847266</v>
      </c>
      <c r="E932" s="34" t="n">
        <f aca="false">E931*(1+E$794)+MAX(E868-E900,0)</f>
        <v>192491.418135446</v>
      </c>
      <c r="F932" s="34" t="n">
        <f aca="false">F931*(1+F$794)+MAX(F868-F900,0)</f>
        <v>200113.579069458</v>
      </c>
      <c r="G932" s="34" t="n">
        <f aca="false">G931*(1+G$794)+MAX(G868-G900,0)</f>
        <v>208002.915796283</v>
      </c>
    </row>
    <row r="933" customFormat="false" ht="15" hidden="true" customHeight="true" outlineLevel="0" collapsed="false">
      <c r="B933" s="34" t="n">
        <f aca="false">B932*(1+B$794)+MAX(B869-B901,0)</f>
        <v>185341.689264516</v>
      </c>
      <c r="C933" s="34" t="n">
        <f aca="false">C932*(1+C$794)+MAX(C869-C901,0)</f>
        <v>194190.386186976</v>
      </c>
      <c r="D933" s="34" t="n">
        <f aca="false">D932*(1+D$794)+MAX(D869-D901,0)</f>
        <v>203434.964242461</v>
      </c>
      <c r="E933" s="34" t="n">
        <f aca="false">E932*(1+E$794)+MAX(E869-E901,0)</f>
        <v>213090.049076405</v>
      </c>
      <c r="F933" s="34" t="n">
        <f aca="false">F932*(1+F$794)+MAX(F869-F901,0)</f>
        <v>223170.675457153</v>
      </c>
      <c r="G933" s="34" t="n">
        <f aca="false">G932*(1+G$794)+MAX(G869-G901,0)</f>
        <v>233692.294912818</v>
      </c>
    </row>
    <row r="934" customFormat="false" ht="15" hidden="true" customHeight="true" outlineLevel="0" collapsed="false">
      <c r="B934" s="34" t="n">
        <f aca="false">B933*(1+B$794)+MAX(B870-B902,0)</f>
        <v>199377.005158772</v>
      </c>
      <c r="C934" s="34" t="n">
        <f aca="false">C933*(1+C$794)+MAX(C870-C902,0)</f>
        <v>210433.066850775</v>
      </c>
      <c r="D934" s="34" t="n">
        <f aca="false">D933*(1+D$794)+MAX(D870-D902,0)</f>
        <v>222081.777670905</v>
      </c>
      <c r="E934" s="34" t="n">
        <f aca="false">E933*(1+E$794)+MAX(E870-E902,0)</f>
        <v>234350.51723731</v>
      </c>
      <c r="F934" s="34" t="n">
        <f aca="false">F933*(1+F$794)+MAX(F870-F902,0)</f>
        <v>247267.687955474</v>
      </c>
      <c r="G934" s="34" t="n">
        <f aca="false">G933*(1+G$794)+MAX(G870-G902,0)</f>
        <v>260862.743722164</v>
      </c>
    </row>
    <row r="935" customFormat="false" ht="15" hidden="true" customHeight="true" outlineLevel="0" collapsed="false">
      <c r="B935" s="34" t="n">
        <f aca="false">B934*(1+B$794)+MAX(B871-B903,0)</f>
        <v>213242.077474248</v>
      </c>
      <c r="C935" s="34" t="n">
        <f aca="false">C934*(1+C$794)+MAX(C871-C903,0)</f>
        <v>226734.151685519</v>
      </c>
      <c r="D935" s="34" t="n">
        <f aca="false">D934*(1+D$794)+MAX(D871-D903,0)</f>
        <v>241069.628715163</v>
      </c>
      <c r="E935" s="34" t="n">
        <f aca="false">E934*(1+E$794)+MAX(E871-E903,0)</f>
        <v>256295.310432262</v>
      </c>
      <c r="F935" s="34" t="n">
        <f aca="false">F934*(1+F$794)+MAX(F871-F903,0)</f>
        <v>272460.18827307</v>
      </c>
      <c r="G935" s="34" t="n">
        <f aca="false">G934*(1+G$794)+MAX(G871-G903,0)</f>
        <v>289615.52538065</v>
      </c>
    </row>
    <row r="936" customFormat="false" ht="15" hidden="true" customHeight="true" outlineLevel="0" collapsed="false">
      <c r="B936" s="34" t="n">
        <f aca="false">B935*(1+B$794)+MAX(B872-B904,0)</f>
        <v>226914.059811913</v>
      </c>
      <c r="C936" s="34" t="n">
        <f aca="false">C935*(1+C$794)+MAX(C872-C904,0)</f>
        <v>243078.237766378</v>
      </c>
      <c r="D936" s="34" t="n">
        <f aca="false">D935*(1+D$794)+MAX(D872-D904,0)</f>
        <v>260397.830164359</v>
      </c>
      <c r="E936" s="34" t="n">
        <f aca="false">E935*(1+E$794)+MAX(E872-E904,0)</f>
        <v>278947.749071635</v>
      </c>
      <c r="F936" s="34" t="n">
        <f aca="false">F935*(1+F$794)+MAX(F872-F904,0)</f>
        <v>298807.121465622</v>
      </c>
      <c r="G936" s="34" t="n">
        <f aca="false">G935*(1+G$794)+MAX(G872-G904,0)</f>
        <v>320059.48742454</v>
      </c>
    </row>
    <row r="937" customFormat="false" ht="15" hidden="true" customHeight="true" outlineLevel="0" collapsed="false">
      <c r="B937" s="34" t="n">
        <f aca="false">B936*(1+B$794)+MAX(B873-B905,0)</f>
        <v>240368.888208014</v>
      </c>
      <c r="C937" s="34" t="n">
        <f aca="false">C936*(1+C$794)+MAX(C873-C905,0)</f>
        <v>259448.773878777</v>
      </c>
      <c r="D937" s="34" t="n">
        <f aca="false">D936*(1+D$794)+MAX(D873-D905,0)</f>
        <v>280065.128274321</v>
      </c>
      <c r="E937" s="34" t="n">
        <f aca="false">E936*(1+E$794)+MAX(E873-E905,0)</f>
        <v>302332.020617677</v>
      </c>
      <c r="F937" s="34" t="n">
        <f aca="false">F936*(1+F$794)+MAX(F873-F905,0)</f>
        <v>326371.02656996</v>
      </c>
      <c r="G937" s="34" t="n">
        <f aca="false">G936*(1+G$794)+MAX(G873-G905,0)</f>
        <v>352311.653020247</v>
      </c>
    </row>
    <row r="938" customFormat="false" ht="15" hidden="true" customHeight="true" outlineLevel="0" collapsed="false">
      <c r="B938" s="34" t="n">
        <f aca="false">B937*(1+B$794)+MAX(B874-B906,0)</f>
        <v>253581.228641954</v>
      </c>
      <c r="C938" s="34" t="n">
        <f aca="false">C937*(1+C$794)+MAX(C874-C906,0)</f>
        <v>275827.998621627</v>
      </c>
      <c r="D938" s="34" t="n">
        <f aca="false">D937*(1+D$794)+MAX(D874-D906,0)</f>
        <v>300069.658475736</v>
      </c>
      <c r="E938" s="34" t="n">
        <f aca="false">E937*(1+E$794)+MAX(E874-E906,0)</f>
        <v>326473.215642437</v>
      </c>
      <c r="F938" s="34" t="n">
        <f aca="false">F937*(1+F$794)+MAX(F874-F906,0)</f>
        <v>355218.272217557</v>
      </c>
      <c r="G938" s="34" t="n">
        <f aca="false">G937*(1+G$794)+MAX(G874-G906,0)</f>
        <v>386497.859049566</v>
      </c>
    </row>
    <row r="939" customFormat="false" ht="15" hidden="true" customHeight="true" outlineLevel="0" collapsed="false">
      <c r="B939" s="34" t="n">
        <f aca="false">B938*(1+B$794)+MAX(B875-B907,0)</f>
        <v>266524.422490446</v>
      </c>
      <c r="C939" s="34" t="n">
        <f aca="false">C938*(1+C$794)+MAX(C875-C907,0)</f>
        <v>292196.875555726</v>
      </c>
      <c r="D939" s="34" t="n">
        <f aca="false">D938*(1+D$794)+MAX(D875-D907,0)</f>
        <v>320408.898388757</v>
      </c>
      <c r="E939" s="34" t="n">
        <f aca="false">E938*(1+E$794)+MAX(E875-E907,0)</f>
        <v>351397.365570217</v>
      </c>
      <c r="F939" s="34" t="n">
        <f aca="false">F938*(1+F$794)+MAX(F875-F907,0)</f>
        <v>385419.308262019</v>
      </c>
      <c r="G939" s="34" t="n">
        <f aca="false">G938*(1+G$794)+MAX(G875-G907,0)</f>
        <v>422753.444762765</v>
      </c>
    </row>
    <row r="940" customFormat="false" ht="15" hidden="true" customHeight="true" outlineLevel="0" collapsed="false">
      <c r="B940" s="34" t="n">
        <f aca="false">B939*(1+B$794)+MAX(B876-B908,0)</f>
        <v>279170.429851973</v>
      </c>
      <c r="C940" s="34" t="n">
        <f aca="false">C939*(1+C$794)+MAX(C876-C908,0)</f>
        <v>308535.025264769</v>
      </c>
      <c r="D940" s="34" t="n">
        <f aca="false">D939*(1+D$794)+MAX(D876-D908,0)</f>
        <v>341079.617995008</v>
      </c>
      <c r="E940" s="34" t="n">
        <f aca="false">E939*(1+E$794)+MAX(E876-E908,0)</f>
        <v>377131.482191244</v>
      </c>
      <c r="F940" s="34" t="n">
        <f aca="false">F939*(1+F$794)+MAX(F876-F908,0)</f>
        <v>417048.934527174</v>
      </c>
      <c r="G940" s="34" t="n">
        <f aca="false">G939*(1+G$794)+MAX(G876-G908,0)</f>
        <v>461223.9950306</v>
      </c>
    </row>
    <row r="941" customFormat="false" ht="15" hidden="true" customHeight="true" outlineLevel="0" collapsed="false">
      <c r="B941" s="34" t="n">
        <f aca="false">B940*(1+B$794)+MAX(B877-B909,0)</f>
        <v>291489.770662854</v>
      </c>
      <c r="C941" s="34" t="n">
        <f aca="false">C940*(1+C$794)+MAX(C877-C909,0)</f>
        <v>324820.654190681</v>
      </c>
      <c r="D941" s="34" t="n">
        <f aca="false">D940*(1+D$794)+MAX(D877-D909,0)</f>
        <v>362077.82681008</v>
      </c>
      <c r="E941" s="34" t="n">
        <f aca="false">E940*(1+E$794)+MAX(E877-E909,0)</f>
        <v>403703.59903804</v>
      </c>
      <c r="F941" s="34" t="n">
        <f aca="false">F940*(1+F$794)+MAX(F877-F909,0)</f>
        <v>450186.587859398</v>
      </c>
      <c r="G941" s="34" t="n">
        <f aca="false">G940*(1+G$794)+MAX(G877-G909,0)</f>
        <v>502066.14254837</v>
      </c>
    </row>
    <row r="942" customFormat="false" ht="15" hidden="true" customHeight="true" outlineLevel="0" collapsed="false">
      <c r="B942" s="34" t="n">
        <f aca="false">B941*(1+B$794)+MAX(B878-B910,0)</f>
        <v>303451.463523424</v>
      </c>
      <c r="C942" s="34" t="n">
        <f aca="false">C941*(1+C$794)+MAX(C878-C910,0)</f>
        <v>341030.480098992</v>
      </c>
      <c r="D942" s="34" t="n">
        <f aca="false">D941*(1+D$794)+MAX(D878-D910,0)</f>
        <v>383398.717891268</v>
      </c>
      <c r="E942" s="34" t="n">
        <f aca="false">E941*(1+E$794)+MAX(E878-E910,0)</f>
        <v>431142.814721006</v>
      </c>
      <c r="F942" s="34" t="n">
        <f aca="false">F941*(1+F$794)+MAX(F878-F910,0)</f>
        <v>484916.64875024</v>
      </c>
      <c r="G942" s="34" t="n">
        <f aca="false">G941*(1+G$794)+MAX(G878-G910,0)</f>
        <v>545448.433692923</v>
      </c>
    </row>
    <row r="943" customFormat="false" ht="15" hidden="true" customHeight="true" outlineLevel="0" collapsed="false">
      <c r="B943" s="34" t="n">
        <f aca="false">B942*(1+B$794)+MAX(B879-B911,0)</f>
        <v>315022.962149934</v>
      </c>
      <c r="C943" s="34" t="n">
        <f aca="false">C942*(1+C$794)+MAX(C879-C911,0)</f>
        <v>357139.65402376</v>
      </c>
      <c r="D943" s="34" t="n">
        <f aca="false">D942*(1+D$794)+MAX(D879-D911,0)</f>
        <v>405036.608506639</v>
      </c>
      <c r="E943" s="34" t="n">
        <f aca="false">E942*(1+E$794)+MAX(E879-E911,0)</f>
        <v>459479.338325074</v>
      </c>
      <c r="F943" s="34" t="n">
        <f aca="false">F942*(1+F$794)+MAX(F879-F911,0)</f>
        <v>521328.768883564</v>
      </c>
      <c r="G943" s="34" t="n">
        <f aca="false">G942*(1+G$794)+MAX(G879-G911,0)</f>
        <v>591552.263109165</v>
      </c>
    </row>
    <row r="944" customFormat="false" ht="15" hidden="true" customHeight="true" outlineLevel="0" collapsed="false">
      <c r="B944" s="34" t="n">
        <f aca="false">B943*(1+B$794)+MAX(B880-B912,0)</f>
        <v>326170.089364767</v>
      </c>
      <c r="C944" s="34" t="n">
        <f aca="false">C943*(1+C$794)+MAX(C880-C912,0)</f>
        <v>373121.678535045</v>
      </c>
      <c r="D944" s="34" t="n">
        <f aca="false">D943*(1+D$794)+MAX(D880-D912,0)</f>
        <v>426984.877282306</v>
      </c>
      <c r="E944" s="34" t="n">
        <f aca="false">E943*(1+E$794)+MAX(E880-E912,0)</f>
        <v>488744.536974914</v>
      </c>
      <c r="F944" s="34" t="n">
        <f aca="false">F943*(1+F$794)+MAX(F880-F912,0)</f>
        <v>559518.221055749</v>
      </c>
      <c r="G944" s="34" t="n">
        <f aca="false">G943*(1+G$794)+MAX(G880-G912,0)</f>
        <v>640572.882508233</v>
      </c>
    </row>
    <row r="945" customFormat="false" ht="15" hidden="true" customHeight="true" outlineLevel="0" collapsed="false">
      <c r="B945" s="34" t="n">
        <f aca="false">B944*(1+B$794)+MAX(B881-B913,0)</f>
        <v>336856.968534459</v>
      </c>
      <c r="C945" s="34" t="n">
        <f aca="false">C944*(1+C$794)+MAX(C881-C913,0)</f>
        <v>388948.322165195</v>
      </c>
      <c r="D945" s="34" t="n">
        <f aca="false">D944*(1+D$794)+MAX(D881-D913,0)</f>
        <v>449235.89763517</v>
      </c>
      <c r="E945" s="34" t="n">
        <f aca="false">E944*(1+E$794)+MAX(E881-E913,0)</f>
        <v>518970.985682157</v>
      </c>
      <c r="F945" s="34" t="n">
        <f aca="false">F944*(1+F$794)+MAX(F881-F913,0)</f>
        <v>599586.2730184</v>
      </c>
      <c r="G945" s="34" t="n">
        <f aca="false">G944*(1+G$794)+MAX(G881-G913,0)</f>
        <v>692720.48959764</v>
      </c>
    </row>
    <row r="946" customFormat="false" ht="15" hidden="true" customHeight="true" outlineLevel="0" collapsed="false">
      <c r="B946" s="34" t="n">
        <f aca="false">B945*(1+B$794)+MAX(B882-B914,0)</f>
        <v>347045.952361806</v>
      </c>
      <c r="C946" s="34" t="n">
        <f aca="false">C945*(1+C$794)+MAX(C882-C914,0)</f>
        <v>404589.529823117</v>
      </c>
      <c r="D946" s="34" t="n">
        <f aca="false">D945*(1+D$794)+MAX(D882-D914,0)</f>
        <v>471780.967288242</v>
      </c>
      <c r="E946" s="34" t="n">
        <f aca="false">E945*(1+E$794)+MAX(E882-E914,0)</f>
        <v>550192.5195944</v>
      </c>
      <c r="F946" s="34" t="n">
        <f aca="false">F945*(1+F$794)+MAX(F882-F914,0)</f>
        <v>641640.586901001</v>
      </c>
      <c r="G946" s="34" t="n">
        <f aca="false">G945*(1+G$794)+MAX(G882-G914,0)</f>
        <v>748221.403536765</v>
      </c>
    </row>
    <row r="947" customFormat="false" ht="15" hidden="true" customHeight="true" outlineLevel="0" collapsed="false">
      <c r="B947" s="34" t="n">
        <f aca="false">B946*(1+B$794)+MAX(B883-B915,0)</f>
        <v>357457.330932661</v>
      </c>
      <c r="C947" s="34" t="n">
        <f aca="false">C946*(1+C$794)+MAX(C883-C915,0)</f>
        <v>420773.111016042</v>
      </c>
      <c r="D947" s="34" t="n">
        <f aca="false">D946*(1+D$794)+MAX(D883-D915,0)</f>
        <v>495370.015652655</v>
      </c>
      <c r="E947" s="34" t="n">
        <f aca="false">E946*(1+E$794)+MAX(E883-E915,0)</f>
        <v>583204.070770065</v>
      </c>
      <c r="F947" s="34" t="n">
        <f aca="false">F946*(1+F$794)+MAX(F883-F915,0)</f>
        <v>686555.427984072</v>
      </c>
      <c r="G947" s="34" t="n">
        <f aca="false">G946*(1+G$794)+MAX(G883-G915,0)</f>
        <v>808079.115819707</v>
      </c>
    </row>
    <row r="948" customFormat="false" ht="15" hidden="true" customHeight="true" outlineLevel="0" collapsed="false">
      <c r="B948" s="34" t="n">
        <f aca="false">B947*(1+B$794)+MAX(B884-B916,0)</f>
        <v>368181.05086064</v>
      </c>
      <c r="C948" s="34" t="n">
        <f aca="false">C947*(1+C$794)+MAX(C884-C916,0)</f>
        <v>437604.035456684</v>
      </c>
      <c r="D948" s="34" t="n">
        <f aca="false">D947*(1+D$794)+MAX(D884-D916,0)</f>
        <v>520138.516435287</v>
      </c>
      <c r="E948" s="34" t="n">
        <f aca="false">E947*(1+E$794)+MAX(E884-E916,0)</f>
        <v>618196.315016268</v>
      </c>
      <c r="F948" s="34" t="n">
        <f aca="false">F947*(1+F$794)+MAX(F884-F916,0)</f>
        <v>734614.307942957</v>
      </c>
      <c r="G948" s="34" t="n">
        <f aca="false">G947*(1+G$794)+MAX(G884-G916,0)</f>
        <v>872725.445085283</v>
      </c>
    </row>
    <row r="949" customFormat="false" ht="15" hidden="true" customHeight="true" outlineLevel="0" collapsed="false">
      <c r="B949" s="34" t="n">
        <f aca="false">B948*(1+B$794)+MAX(B885-B917,0)</f>
        <v>379226.48238646</v>
      </c>
      <c r="C949" s="34" t="n">
        <f aca="false">C948*(1+C$794)+MAX(C885-C917,0)</f>
        <v>455108.196874951</v>
      </c>
      <c r="D949" s="34" t="n">
        <f aca="false">D948*(1+D$794)+MAX(D885-D917,0)</f>
        <v>546145.442257052</v>
      </c>
      <c r="E949" s="34" t="n">
        <f aca="false">E948*(1+E$794)+MAX(E885-E917,0)</f>
        <v>655288.093917245</v>
      </c>
      <c r="F949" s="34" t="n">
        <f aca="false">F948*(1+F$794)+MAX(F885-F917,0)</f>
        <v>786037.309498964</v>
      </c>
      <c r="G949" s="34" t="n">
        <f aca="false">G948*(1+G$794)+MAX(G885-G917,0)</f>
        <v>942543.480692106</v>
      </c>
    </row>
    <row r="950" customFormat="false" ht="15" hidden="true" customHeight="true" outlineLevel="0" collapsed="false">
      <c r="B950" s="34" t="n">
        <f aca="false">B949*(1+B$794)+MAX(B886-B918,0)</f>
        <v>390603.276858053</v>
      </c>
      <c r="C950" s="34" t="n">
        <f aca="false">C949*(1+C$794)+MAX(C886-C918,0)</f>
        <v>473312.524749949</v>
      </c>
      <c r="D950" s="34" t="n">
        <f aca="false">D949*(1+D$794)+MAX(D886-D918,0)</f>
        <v>573452.714369904</v>
      </c>
      <c r="E950" s="34" t="n">
        <f aca="false">E949*(1+E$794)+MAX(E886-E918,0)</f>
        <v>694605.379552279</v>
      </c>
      <c r="F950" s="34" t="n">
        <f aca="false">F949*(1+F$794)+MAX(F886-F918,0)</f>
        <v>841059.921163891</v>
      </c>
      <c r="G950" s="34" t="n">
        <f aca="false">G949*(1+G$794)+MAX(G886-G918,0)</f>
        <v>1017946.95914747</v>
      </c>
    </row>
    <row r="951" customFormat="false" ht="15" hidden="true" customHeight="true" outlineLevel="0" collapsed="false">
      <c r="B951" s="34" t="n">
        <f aca="false">B950*(1+B$794)+MAX(B887-B919,0)</f>
        <v>402321.375163795</v>
      </c>
      <c r="C951" s="34" t="n">
        <f aca="false">C950*(1+C$794)+MAX(C887-C919,0)</f>
        <v>492245.025739947</v>
      </c>
      <c r="D951" s="34" t="n">
        <f aca="false">D950*(1+D$794)+MAX(D887-D919,0)</f>
        <v>602125.3500884</v>
      </c>
      <c r="E951" s="34" t="n">
        <f aca="false">E950*(1+E$794)+MAX(E887-E919,0)</f>
        <v>736281.702325416</v>
      </c>
      <c r="F951" s="34" t="n">
        <f aca="false">F950*(1+F$794)+MAX(F887-F919,0)</f>
        <v>899934.115645363</v>
      </c>
      <c r="G951" s="34" t="n">
        <f aca="false">G950*(1+G$794)+MAX(G887-G919,0)</f>
        <v>1099382.71587927</v>
      </c>
    </row>
    <row r="952" customFormat="false" ht="15" hidden="true" customHeight="true" outlineLevel="0" collapsed="false">
      <c r="B952" s="34" t="n">
        <f aca="false">B951*(1+B$794)+MAX(B888-B920,0)</f>
        <v>414391.016418709</v>
      </c>
      <c r="C952" s="34" t="n">
        <f aca="false">C951*(1+C$794)+MAX(C888-C920,0)</f>
        <v>511934.826769545</v>
      </c>
      <c r="D952" s="34" t="n">
        <f aca="false">D951*(1+D$794)+MAX(D888-D920,0)</f>
        <v>632231.61759282</v>
      </c>
      <c r="E952" s="34" t="n">
        <f aca="false">E951*(1+E$794)+MAX(E888-E920,0)</f>
        <v>780458.604464941</v>
      </c>
      <c r="F952" s="34" t="n">
        <f aca="false">F951*(1+F$794)+MAX(F888-F920,0)</f>
        <v>962929.503740539</v>
      </c>
      <c r="G952" s="34" t="n">
        <f aca="false">G951*(1+G$794)+MAX(G888-G920,0)</f>
        <v>1187333.33314961</v>
      </c>
    </row>
    <row r="953" customFormat="false" ht="15" hidden="true" customHeight="true" outlineLevel="0" collapsed="false">
      <c r="B953" s="34" t="n">
        <f aca="false">B952*(1+B$794)+MAX(B889-B921,0)</f>
        <v>426822.74691127</v>
      </c>
      <c r="C953" s="34" t="n">
        <f aca="false">C952*(1+C$794)+MAX(C889-C921,0)</f>
        <v>532412.219840327</v>
      </c>
      <c r="D953" s="34" t="n">
        <f aca="false">D952*(1+D$794)+MAX(D889-D921,0)</f>
        <v>663843.198472461</v>
      </c>
      <c r="E953" s="34" t="n">
        <f aca="false">E952*(1+E$794)+MAX(E889-E921,0)</f>
        <v>827286.120732838</v>
      </c>
      <c r="F953" s="34" t="n">
        <f aca="false">F952*(1+F$794)+MAX(F889-F921,0)</f>
        <v>1030334.56900238</v>
      </c>
      <c r="G953" s="34" t="n">
        <f aca="false">G952*(1+G$794)+MAX(G889-G921,0)</f>
        <v>1282319.99980158</v>
      </c>
    </row>
    <row r="954" customFormat="false" ht="15" hidden="true" customHeight="true" outlineLevel="0" collapsed="false">
      <c r="B954" s="34" t="n">
        <f aca="false">B953*(1+B$794)+MAX(B890-B922,0)</f>
        <v>439627.429318608</v>
      </c>
      <c r="C954" s="34" t="n">
        <f aca="false">C953*(1+C$794)+MAX(C890-C922,0)</f>
        <v>553708.70863394</v>
      </c>
      <c r="D954" s="34" t="n">
        <f aca="false">D953*(1+D$794)+MAX(D890-D922,0)</f>
        <v>697035.358396084</v>
      </c>
      <c r="E954" s="34" t="n">
        <f aca="false">E953*(1+E$794)+MAX(E890-E922,0)</f>
        <v>876923.287976808</v>
      </c>
      <c r="F954" s="34" t="n">
        <f aca="false">F953*(1+F$794)+MAX(F890-F922,0)</f>
        <v>1102457.98883254</v>
      </c>
      <c r="G954" s="34" t="n">
        <f aca="false">G953*(1+G$794)+MAX(G890-G922,0)</f>
        <v>1384905.59978571</v>
      </c>
    </row>
    <row r="955" customFormat="false" ht="15" hidden="true" customHeight="true" outlineLevel="0" collapsed="false">
      <c r="B955" s="34" t="n">
        <f aca="false">B954*(1+B$794)+MAX(B891-B923,0)</f>
        <v>452816.252198167</v>
      </c>
      <c r="C955" s="34" t="n">
        <f aca="false">C954*(1+C$794)+MAX(C891-C923,0)</f>
        <v>575857.056979297</v>
      </c>
      <c r="D955" s="34" t="n">
        <f aca="false">D954*(1+D$794)+MAX(D891-D923,0)</f>
        <v>731887.126315888</v>
      </c>
      <c r="E955" s="34" t="n">
        <f aca="false">E954*(1+E$794)+MAX(E891-E923,0)</f>
        <v>929538.685255416</v>
      </c>
      <c r="F955" s="34" t="n">
        <f aca="false">F954*(1+F$794)+MAX(F891-F923,0)</f>
        <v>1179630.04805082</v>
      </c>
      <c r="G955" s="34" t="n">
        <f aca="false">G954*(1+G$794)+MAX(G891-G923,0)</f>
        <v>1495698.04776857</v>
      </c>
    </row>
    <row r="956" customFormat="false" ht="15" hidden="true" customHeight="true" outlineLevel="0" collapsed="false">
      <c r="B956" s="34" t="n">
        <f aca="false">B955*(1+B$794)+MAX(B892-B924,0)</f>
        <v>466400.739764112</v>
      </c>
      <c r="C956" s="34" t="n">
        <f aca="false">C955*(1+C$794)+MAX(C892-C924,0)</f>
        <v>598891.339258469</v>
      </c>
      <c r="D956" s="34" t="n">
        <f aca="false">D955*(1+D$794)+MAX(D892-D924,0)</f>
        <v>768481.482631682</v>
      </c>
      <c r="E956" s="34" t="n">
        <f aca="false">E955*(1+E$794)+MAX(E892-E924,0)</f>
        <v>985311.006370742</v>
      </c>
      <c r="F956" s="34" t="n">
        <f aca="false">F955*(1+F$794)+MAX(F892-F924,0)</f>
        <v>1262204.15141438</v>
      </c>
      <c r="G956" s="34" t="n">
        <f aca="false">G955*(1+G$794)+MAX(G892-G924,0)</f>
        <v>1615353.89159005</v>
      </c>
    </row>
    <row r="957" customFormat="false" ht="15" hidden="true" customHeight="true" outlineLevel="0" collapsed="false">
      <c r="B957" s="34" t="n">
        <f aca="false">B956*(1+B$794)+MAX(B893-B925,0)</f>
        <v>480392.761957035</v>
      </c>
      <c r="C957" s="34" t="n">
        <f aca="false">C956*(1+C$794)+MAX(C893-C925,0)</f>
        <v>622846.992828808</v>
      </c>
      <c r="D957" s="34" t="n">
        <f aca="false">D956*(1+D$794)+MAX(D893-D925,0)</f>
        <v>806905.556763266</v>
      </c>
      <c r="E957" s="34" t="n">
        <f aca="false">E956*(1+E$794)+MAX(E893-E925,0)</f>
        <v>1044429.66675299</v>
      </c>
      <c r="F957" s="34" t="n">
        <f aca="false">F956*(1+F$794)+MAX(F893-F925,0)</f>
        <v>1350558.44201339</v>
      </c>
      <c r="G957" s="34" t="n">
        <f aca="false">G956*(1+G$794)+MAX(G893-G925,0)</f>
        <v>1744582.20291726</v>
      </c>
    </row>
    <row r="958" customFormat="false" ht="15" hidden="true" customHeight="true" outlineLevel="0" collapsed="false"/>
    <row r="959" customFormat="false" ht="15" hidden="true" customHeight="true" outlineLevel="0" collapsed="false">
      <c r="A959" s="33" t="s">
        <v>96</v>
      </c>
      <c r="B959" s="34" t="n">
        <v>0</v>
      </c>
      <c r="C959" s="34" t="n">
        <v>0</v>
      </c>
      <c r="D959" s="34" t="n">
        <v>0</v>
      </c>
      <c r="E959" s="34" t="n">
        <v>0</v>
      </c>
      <c r="F959" s="34" t="n">
        <v>0</v>
      </c>
      <c r="G959" s="34" t="n">
        <v>0</v>
      </c>
    </row>
    <row r="960" customFormat="false" ht="15" hidden="true" customHeight="true" outlineLevel="0" collapsed="false">
      <c r="B960" s="34" t="n">
        <f aca="false">B959*(1+B$794)+MAX(B896-B864,0)</f>
        <v>0</v>
      </c>
      <c r="C960" s="34" t="n">
        <f aca="false">C959*(1+C$794)+MAX(C896-C864,0)</f>
        <v>0</v>
      </c>
      <c r="D960" s="34" t="n">
        <f aca="false">D959*(1+D$794)+MAX(D896-D864,0)</f>
        <v>0</v>
      </c>
      <c r="E960" s="34" t="n">
        <f aca="false">E959*(1+E$794)+MAX(E896-E864,0)</f>
        <v>0</v>
      </c>
      <c r="F960" s="34" t="n">
        <f aca="false">F959*(1+F$794)+MAX(F896-F864,0)</f>
        <v>0</v>
      </c>
      <c r="G960" s="34" t="n">
        <f aca="false">G959*(1+G$794)+MAX(G896-G864,0)</f>
        <v>0</v>
      </c>
    </row>
    <row r="961" customFormat="false" ht="15" hidden="true" customHeight="true" outlineLevel="0" collapsed="false">
      <c r="B961" s="34" t="n">
        <f aca="false">B960*(1+B$794)+MAX(B897-B865,0)</f>
        <v>0</v>
      </c>
      <c r="C961" s="34" t="n">
        <f aca="false">C960*(1+C$794)+MAX(C897-C865,0)</f>
        <v>0</v>
      </c>
      <c r="D961" s="34" t="n">
        <f aca="false">D960*(1+D$794)+MAX(D897-D865,0)</f>
        <v>0</v>
      </c>
      <c r="E961" s="34" t="n">
        <f aca="false">E960*(1+E$794)+MAX(E897-E865,0)</f>
        <v>0</v>
      </c>
      <c r="F961" s="34" t="n">
        <f aca="false">F960*(1+F$794)+MAX(F897-F865,0)</f>
        <v>0</v>
      </c>
      <c r="G961" s="34" t="n">
        <f aca="false">G960*(1+G$794)+MAX(G897-G865,0)</f>
        <v>0</v>
      </c>
    </row>
    <row r="962" customFormat="false" ht="15" hidden="true" customHeight="true" outlineLevel="0" collapsed="false">
      <c r="B962" s="34" t="n">
        <f aca="false">B961*(1+B$794)+MAX(B898-B866,0)</f>
        <v>0</v>
      </c>
      <c r="C962" s="34" t="n">
        <f aca="false">C961*(1+C$794)+MAX(C898-C866,0)</f>
        <v>0</v>
      </c>
      <c r="D962" s="34" t="n">
        <f aca="false">D961*(1+D$794)+MAX(D898-D866,0)</f>
        <v>0</v>
      </c>
      <c r="E962" s="34" t="n">
        <f aca="false">E961*(1+E$794)+MAX(E898-E866,0)</f>
        <v>0</v>
      </c>
      <c r="F962" s="34" t="n">
        <f aca="false">F961*(1+F$794)+MAX(F898-F866,0)</f>
        <v>0</v>
      </c>
      <c r="G962" s="34" t="n">
        <f aca="false">G961*(1+G$794)+MAX(G898-G866,0)</f>
        <v>0</v>
      </c>
    </row>
    <row r="963" customFormat="false" ht="15" hidden="true" customHeight="true" outlineLevel="0" collapsed="false">
      <c r="B963" s="34" t="n">
        <f aca="false">B962*(1+B$794)+MAX(B899-B867,0)</f>
        <v>0</v>
      </c>
      <c r="C963" s="34" t="n">
        <f aca="false">C962*(1+C$794)+MAX(C899-C867,0)</f>
        <v>0</v>
      </c>
      <c r="D963" s="34" t="n">
        <f aca="false">D962*(1+D$794)+MAX(D899-D867,0)</f>
        <v>0</v>
      </c>
      <c r="E963" s="34" t="n">
        <f aca="false">E962*(1+E$794)+MAX(E899-E867,0)</f>
        <v>0</v>
      </c>
      <c r="F963" s="34" t="n">
        <f aca="false">F962*(1+F$794)+MAX(F899-F867,0)</f>
        <v>0</v>
      </c>
      <c r="G963" s="34" t="n">
        <f aca="false">G962*(1+G$794)+MAX(G899-G867,0)</f>
        <v>0</v>
      </c>
    </row>
    <row r="964" customFormat="false" ht="15" hidden="true" customHeight="true" outlineLevel="0" collapsed="false">
      <c r="B964" s="34" t="n">
        <f aca="false">B963*(1+B$794)+MAX(B900-B868,0)</f>
        <v>0</v>
      </c>
      <c r="C964" s="34" t="n">
        <f aca="false">C963*(1+C$794)+MAX(C900-C868,0)</f>
        <v>0</v>
      </c>
      <c r="D964" s="34" t="n">
        <f aca="false">D963*(1+D$794)+MAX(D900-D868,0)</f>
        <v>0</v>
      </c>
      <c r="E964" s="34" t="n">
        <f aca="false">E963*(1+E$794)+MAX(E900-E868,0)</f>
        <v>0</v>
      </c>
      <c r="F964" s="34" t="n">
        <f aca="false">F963*(1+F$794)+MAX(F900-F868,0)</f>
        <v>0</v>
      </c>
      <c r="G964" s="34" t="n">
        <f aca="false">G963*(1+G$794)+MAX(G900-G868,0)</f>
        <v>0</v>
      </c>
    </row>
    <row r="965" customFormat="false" ht="15" hidden="true" customHeight="true" outlineLevel="0" collapsed="false">
      <c r="B965" s="34" t="n">
        <f aca="false">B964*(1+B$794)+MAX(B901-B869,0)</f>
        <v>0</v>
      </c>
      <c r="C965" s="34" t="n">
        <f aca="false">C964*(1+C$794)+MAX(C901-C869,0)</f>
        <v>0</v>
      </c>
      <c r="D965" s="34" t="n">
        <f aca="false">D964*(1+D$794)+MAX(D901-D869,0)</f>
        <v>0</v>
      </c>
      <c r="E965" s="34" t="n">
        <f aca="false">E964*(1+E$794)+MAX(E901-E869,0)</f>
        <v>0</v>
      </c>
      <c r="F965" s="34" t="n">
        <f aca="false">F964*(1+F$794)+MAX(F901-F869,0)</f>
        <v>0</v>
      </c>
      <c r="G965" s="34" t="n">
        <f aca="false">G964*(1+G$794)+MAX(G901-G869,0)</f>
        <v>0</v>
      </c>
    </row>
    <row r="966" customFormat="false" ht="15" hidden="true" customHeight="true" outlineLevel="0" collapsed="false">
      <c r="B966" s="34" t="n">
        <f aca="false">B965*(1+B$794)+MAX(B902-B870,0)</f>
        <v>0</v>
      </c>
      <c r="C966" s="34" t="n">
        <f aca="false">C965*(1+C$794)+MAX(C902-C870,0)</f>
        <v>0</v>
      </c>
      <c r="D966" s="34" t="n">
        <f aca="false">D965*(1+D$794)+MAX(D902-D870,0)</f>
        <v>0</v>
      </c>
      <c r="E966" s="34" t="n">
        <f aca="false">E965*(1+E$794)+MAX(E902-E870,0)</f>
        <v>0</v>
      </c>
      <c r="F966" s="34" t="n">
        <f aca="false">F965*(1+F$794)+MAX(F902-F870,0)</f>
        <v>0</v>
      </c>
      <c r="G966" s="34" t="n">
        <f aca="false">G965*(1+G$794)+MAX(G902-G870,0)</f>
        <v>0</v>
      </c>
    </row>
    <row r="967" customFormat="false" ht="15" hidden="true" customHeight="true" outlineLevel="0" collapsed="false">
      <c r="B967" s="34" t="n">
        <f aca="false">B966*(1+B$794)+MAX(B903-B871,0)</f>
        <v>0</v>
      </c>
      <c r="C967" s="34" t="n">
        <f aca="false">C966*(1+C$794)+MAX(C903-C871,0)</f>
        <v>0</v>
      </c>
      <c r="D967" s="34" t="n">
        <f aca="false">D966*(1+D$794)+MAX(D903-D871,0)</f>
        <v>0</v>
      </c>
      <c r="E967" s="34" t="n">
        <f aca="false">E966*(1+E$794)+MAX(E903-E871,0)</f>
        <v>0</v>
      </c>
      <c r="F967" s="34" t="n">
        <f aca="false">F966*(1+F$794)+MAX(F903-F871,0)</f>
        <v>0</v>
      </c>
      <c r="G967" s="34" t="n">
        <f aca="false">G966*(1+G$794)+MAX(G903-G871,0)</f>
        <v>0</v>
      </c>
    </row>
    <row r="968" customFormat="false" ht="15" hidden="true" customHeight="true" outlineLevel="0" collapsed="false">
      <c r="B968" s="34" t="n">
        <f aca="false">B967*(1+B$794)+MAX(B904-B872,0)</f>
        <v>0</v>
      </c>
      <c r="C968" s="34" t="n">
        <f aca="false">C967*(1+C$794)+MAX(C904-C872,0)</f>
        <v>0</v>
      </c>
      <c r="D968" s="34" t="n">
        <f aca="false">D967*(1+D$794)+MAX(D904-D872,0)</f>
        <v>0</v>
      </c>
      <c r="E968" s="34" t="n">
        <f aca="false">E967*(1+E$794)+MAX(E904-E872,0)</f>
        <v>0</v>
      </c>
      <c r="F968" s="34" t="n">
        <f aca="false">F967*(1+F$794)+MAX(F904-F872,0)</f>
        <v>0</v>
      </c>
      <c r="G968" s="34" t="n">
        <f aca="false">G967*(1+G$794)+MAX(G904-G872,0)</f>
        <v>0</v>
      </c>
    </row>
    <row r="969" customFormat="false" ht="15" hidden="true" customHeight="true" outlineLevel="0" collapsed="false">
      <c r="B969" s="34" t="n">
        <f aca="false">B968*(1+B$794)+MAX(B905-B873,0)</f>
        <v>0</v>
      </c>
      <c r="C969" s="34" t="n">
        <f aca="false">C968*(1+C$794)+MAX(C905-C873,0)</f>
        <v>0</v>
      </c>
      <c r="D969" s="34" t="n">
        <f aca="false">D968*(1+D$794)+MAX(D905-D873,0)</f>
        <v>0</v>
      </c>
      <c r="E969" s="34" t="n">
        <f aca="false">E968*(1+E$794)+MAX(E905-E873,0)</f>
        <v>0</v>
      </c>
      <c r="F969" s="34" t="n">
        <f aca="false">F968*(1+F$794)+MAX(F905-F873,0)</f>
        <v>0</v>
      </c>
      <c r="G969" s="34" t="n">
        <f aca="false">G968*(1+G$794)+MAX(G905-G873,0)</f>
        <v>0</v>
      </c>
    </row>
    <row r="970" customFormat="false" ht="15" hidden="true" customHeight="true" outlineLevel="0" collapsed="false">
      <c r="B970" s="34" t="n">
        <f aca="false">B969*(1+B$794)+MAX(B906-B874,0)</f>
        <v>0</v>
      </c>
      <c r="C970" s="34" t="n">
        <f aca="false">C969*(1+C$794)+MAX(C906-C874,0)</f>
        <v>0</v>
      </c>
      <c r="D970" s="34" t="n">
        <f aca="false">D969*(1+D$794)+MAX(D906-D874,0)</f>
        <v>0</v>
      </c>
      <c r="E970" s="34" t="n">
        <f aca="false">E969*(1+E$794)+MAX(E906-E874,0)</f>
        <v>0</v>
      </c>
      <c r="F970" s="34" t="n">
        <f aca="false">F969*(1+F$794)+MAX(F906-F874,0)</f>
        <v>0</v>
      </c>
      <c r="G970" s="34" t="n">
        <f aca="false">G969*(1+G$794)+MAX(G906-G874,0)</f>
        <v>0</v>
      </c>
    </row>
    <row r="971" customFormat="false" ht="15" hidden="true" customHeight="true" outlineLevel="0" collapsed="false">
      <c r="B971" s="34" t="n">
        <f aca="false">B970*(1+B$794)+MAX(B907-B875,0)</f>
        <v>0</v>
      </c>
      <c r="C971" s="34" t="n">
        <f aca="false">C970*(1+C$794)+MAX(C907-C875,0)</f>
        <v>0</v>
      </c>
      <c r="D971" s="34" t="n">
        <f aca="false">D970*(1+D$794)+MAX(D907-D875,0)</f>
        <v>0</v>
      </c>
      <c r="E971" s="34" t="n">
        <f aca="false">E970*(1+E$794)+MAX(E907-E875,0)</f>
        <v>0</v>
      </c>
      <c r="F971" s="34" t="n">
        <f aca="false">F970*(1+F$794)+MAX(F907-F875,0)</f>
        <v>0</v>
      </c>
      <c r="G971" s="34" t="n">
        <f aca="false">G970*(1+G$794)+MAX(G907-G875,0)</f>
        <v>0</v>
      </c>
    </row>
    <row r="972" customFormat="false" ht="15" hidden="true" customHeight="true" outlineLevel="0" collapsed="false">
      <c r="B972" s="34" t="n">
        <f aca="false">B971*(1+B$794)+MAX(B908-B876,0)</f>
        <v>0</v>
      </c>
      <c r="C972" s="34" t="n">
        <f aca="false">C971*(1+C$794)+MAX(C908-C876,0)</f>
        <v>0</v>
      </c>
      <c r="D972" s="34" t="n">
        <f aca="false">D971*(1+D$794)+MAX(D908-D876,0)</f>
        <v>0</v>
      </c>
      <c r="E972" s="34" t="n">
        <f aca="false">E971*(1+E$794)+MAX(E908-E876,0)</f>
        <v>0</v>
      </c>
      <c r="F972" s="34" t="n">
        <f aca="false">F971*(1+F$794)+MAX(F908-F876,0)</f>
        <v>0</v>
      </c>
      <c r="G972" s="34" t="n">
        <f aca="false">G971*(1+G$794)+MAX(G908-G876,0)</f>
        <v>0</v>
      </c>
    </row>
    <row r="973" customFormat="false" ht="15" hidden="true" customHeight="true" outlineLevel="0" collapsed="false">
      <c r="B973" s="34" t="n">
        <f aca="false">B972*(1+B$794)+MAX(B909-B877,0)</f>
        <v>0</v>
      </c>
      <c r="C973" s="34" t="n">
        <f aca="false">C972*(1+C$794)+MAX(C909-C877,0)</f>
        <v>0</v>
      </c>
      <c r="D973" s="34" t="n">
        <f aca="false">D972*(1+D$794)+MAX(D909-D877,0)</f>
        <v>0</v>
      </c>
      <c r="E973" s="34" t="n">
        <f aca="false">E972*(1+E$794)+MAX(E909-E877,0)</f>
        <v>0</v>
      </c>
      <c r="F973" s="34" t="n">
        <f aca="false">F972*(1+F$794)+MAX(F909-F877,0)</f>
        <v>0</v>
      </c>
      <c r="G973" s="34" t="n">
        <f aca="false">G972*(1+G$794)+MAX(G909-G877,0)</f>
        <v>0</v>
      </c>
    </row>
    <row r="974" customFormat="false" ht="15" hidden="true" customHeight="true" outlineLevel="0" collapsed="false">
      <c r="B974" s="34" t="n">
        <f aca="false">B973*(1+B$794)+MAX(B910-B878,0)</f>
        <v>0</v>
      </c>
      <c r="C974" s="34" t="n">
        <f aca="false">C973*(1+C$794)+MAX(C910-C878,0)</f>
        <v>0</v>
      </c>
      <c r="D974" s="34" t="n">
        <f aca="false">D973*(1+D$794)+MAX(D910-D878,0)</f>
        <v>0</v>
      </c>
      <c r="E974" s="34" t="n">
        <f aca="false">E973*(1+E$794)+MAX(E910-E878,0)</f>
        <v>0</v>
      </c>
      <c r="F974" s="34" t="n">
        <f aca="false">F973*(1+F$794)+MAX(F910-F878,0)</f>
        <v>0</v>
      </c>
      <c r="G974" s="34" t="n">
        <f aca="false">G973*(1+G$794)+MAX(G910-G878,0)</f>
        <v>0</v>
      </c>
    </row>
    <row r="975" customFormat="false" ht="15" hidden="true" customHeight="true" outlineLevel="0" collapsed="false">
      <c r="B975" s="34" t="n">
        <f aca="false">B974*(1+B$794)+MAX(B911-B879,0)</f>
        <v>0</v>
      </c>
      <c r="C975" s="34" t="n">
        <f aca="false">C974*(1+C$794)+MAX(C911-C879,0)</f>
        <v>0</v>
      </c>
      <c r="D975" s="34" t="n">
        <f aca="false">D974*(1+D$794)+MAX(D911-D879,0)</f>
        <v>0</v>
      </c>
      <c r="E975" s="34" t="n">
        <f aca="false">E974*(1+E$794)+MAX(E911-E879,0)</f>
        <v>0</v>
      </c>
      <c r="F975" s="34" t="n">
        <f aca="false">F974*(1+F$794)+MAX(F911-F879,0)</f>
        <v>0</v>
      </c>
      <c r="G975" s="34" t="n">
        <f aca="false">G974*(1+G$794)+MAX(G911-G879,0)</f>
        <v>0</v>
      </c>
    </row>
    <row r="976" customFormat="false" ht="15" hidden="true" customHeight="true" outlineLevel="0" collapsed="false">
      <c r="B976" s="34" t="n">
        <f aca="false">B975*(1+B$794)+MAX(B912-B880,0)</f>
        <v>0</v>
      </c>
      <c r="C976" s="34" t="n">
        <f aca="false">C975*(1+C$794)+MAX(C912-C880,0)</f>
        <v>0</v>
      </c>
      <c r="D976" s="34" t="n">
        <f aca="false">D975*(1+D$794)+MAX(D912-D880,0)</f>
        <v>0</v>
      </c>
      <c r="E976" s="34" t="n">
        <f aca="false">E975*(1+E$794)+MAX(E912-E880,0)</f>
        <v>0</v>
      </c>
      <c r="F976" s="34" t="n">
        <f aca="false">F975*(1+F$794)+MAX(F912-F880,0)</f>
        <v>0</v>
      </c>
      <c r="G976" s="34" t="n">
        <f aca="false">G975*(1+G$794)+MAX(G912-G880,0)</f>
        <v>0</v>
      </c>
    </row>
    <row r="977" customFormat="false" ht="15" hidden="true" customHeight="true" outlineLevel="0" collapsed="false">
      <c r="B977" s="34" t="n">
        <f aca="false">B976*(1+B$794)+MAX(B913-B881,0)</f>
        <v>0</v>
      </c>
      <c r="C977" s="34" t="n">
        <f aca="false">C976*(1+C$794)+MAX(C913-C881,0)</f>
        <v>0</v>
      </c>
      <c r="D977" s="34" t="n">
        <f aca="false">D976*(1+D$794)+MAX(D913-D881,0)</f>
        <v>0</v>
      </c>
      <c r="E977" s="34" t="n">
        <f aca="false">E976*(1+E$794)+MAX(E913-E881,0)</f>
        <v>0</v>
      </c>
      <c r="F977" s="34" t="n">
        <f aca="false">F976*(1+F$794)+MAX(F913-F881,0)</f>
        <v>0</v>
      </c>
      <c r="G977" s="34" t="n">
        <f aca="false">G976*(1+G$794)+MAX(G913-G881,0)</f>
        <v>0</v>
      </c>
    </row>
    <row r="978" customFormat="false" ht="15" hidden="true" customHeight="true" outlineLevel="0" collapsed="false">
      <c r="B978" s="34" t="n">
        <f aca="false">B977*(1+B$794)+MAX(B914-B882,0)</f>
        <v>0</v>
      </c>
      <c r="C978" s="34" t="n">
        <f aca="false">C977*(1+C$794)+MAX(C914-C882,0)</f>
        <v>0</v>
      </c>
      <c r="D978" s="34" t="n">
        <f aca="false">D977*(1+D$794)+MAX(D914-D882,0)</f>
        <v>0</v>
      </c>
      <c r="E978" s="34" t="n">
        <f aca="false">E977*(1+E$794)+MAX(E914-E882,0)</f>
        <v>0</v>
      </c>
      <c r="F978" s="34" t="n">
        <f aca="false">F977*(1+F$794)+MAX(F914-F882,0)</f>
        <v>0</v>
      </c>
      <c r="G978" s="34" t="n">
        <f aca="false">G977*(1+G$794)+MAX(G914-G882,0)</f>
        <v>0</v>
      </c>
    </row>
    <row r="979" customFormat="false" ht="15" hidden="true" customHeight="true" outlineLevel="0" collapsed="false">
      <c r="B979" s="34" t="n">
        <f aca="false">B978*(1+B$794)+MAX(B915-B883,0)</f>
        <v>759.781997643513</v>
      </c>
      <c r="C979" s="34" t="n">
        <f aca="false">C978*(1+C$794)+MAX(C915-C883,0)</f>
        <v>759.781997643513</v>
      </c>
      <c r="D979" s="34" t="n">
        <f aca="false">D978*(1+D$794)+MAX(D915-D883,0)</f>
        <v>759.781997643513</v>
      </c>
      <c r="E979" s="34" t="n">
        <f aca="false">E978*(1+E$794)+MAX(E915-E883,0)</f>
        <v>759.781997643513</v>
      </c>
      <c r="F979" s="34" t="n">
        <f aca="false">F978*(1+F$794)+MAX(F915-F883,0)</f>
        <v>759.781997643513</v>
      </c>
      <c r="G979" s="34" t="n">
        <f aca="false">G978*(1+G$794)+MAX(G915-G883,0)</f>
        <v>759.781997643513</v>
      </c>
    </row>
    <row r="980" customFormat="false" ht="15" hidden="true" customHeight="true" outlineLevel="0" collapsed="false">
      <c r="B980" s="34" t="n">
        <f aca="false">B979*(1+B$794)+MAX(B916-B884,0)</f>
        <v>2410.70592724249</v>
      </c>
      <c r="C980" s="34" t="n">
        <f aca="false">C979*(1+C$794)+MAX(C916-C884,0)</f>
        <v>2418.30374721892</v>
      </c>
      <c r="D980" s="34" t="n">
        <f aca="false">D979*(1+D$794)+MAX(D916-D884,0)</f>
        <v>2425.90156719536</v>
      </c>
      <c r="E980" s="34" t="n">
        <f aca="false">E979*(1+E$794)+MAX(E916-E884,0)</f>
        <v>2433.49938717179</v>
      </c>
      <c r="F980" s="34" t="n">
        <f aca="false">F979*(1+F$794)+MAX(F916-F884,0)</f>
        <v>2441.09720714823</v>
      </c>
      <c r="G980" s="34" t="n">
        <f aca="false">G979*(1+G$794)+MAX(G916-G884,0)</f>
        <v>2448.69502712466</v>
      </c>
    </row>
    <row r="981" customFormat="false" ht="15" hidden="true" customHeight="true" outlineLevel="0" collapsed="false">
      <c r="B981" s="34" t="n">
        <f aca="false">B980*(1+B$794)+MAX(B917-B885,0)</f>
        <v>5005.55650091636</v>
      </c>
      <c r="C981" s="34" t="n">
        <f aca="false">C980*(1+C$794)+MAX(C917-C885,0)</f>
        <v>5037.56529296428</v>
      </c>
      <c r="D981" s="34" t="n">
        <f aca="false">D980*(1+D$794)+MAX(D917-D885,0)</f>
        <v>5069.72604141173</v>
      </c>
      <c r="E981" s="34" t="n">
        <f aca="false">E980*(1+E$794)+MAX(E917-E885,0)</f>
        <v>5102.0387462587</v>
      </c>
      <c r="F981" s="34" t="n">
        <f aca="false">F980*(1+F$794)+MAX(F917-F885,0)</f>
        <v>5134.50340750521</v>
      </c>
      <c r="G981" s="34" t="n">
        <f aca="false">G980*(1+G$794)+MAX(G917-G885,0)</f>
        <v>5167.12002515124</v>
      </c>
    </row>
    <row r="982" customFormat="false" ht="15" hidden="true" customHeight="true" outlineLevel="0" collapsed="false">
      <c r="B982" s="34" t="n">
        <f aca="false">B981*(1+B$794)+MAX(B918-B886,0)</f>
        <v>8599.483485773</v>
      </c>
      <c r="C982" s="34" t="n">
        <f aca="false">C981*(1+C$794)+MAX(C918-C886,0)</f>
        <v>8682.828194512</v>
      </c>
      <c r="D982" s="34" t="n">
        <f aca="false">D981*(1+D$794)+MAX(D918-D886,0)</f>
        <v>8766.97263331146</v>
      </c>
      <c r="E982" s="34" t="n">
        <f aca="false">E981*(1+E$794)+MAX(E918-E886,0)</f>
        <v>8851.92136086337</v>
      </c>
      <c r="F982" s="34" t="n">
        <f aca="false">F981*(1+F$794)+MAX(F918-F886,0)</f>
        <v>8937.67893585972</v>
      </c>
      <c r="G982" s="34" t="n">
        <f aca="false">G981*(1+G$794)+MAX(G918-G886,0)</f>
        <v>9024.24991699248</v>
      </c>
    </row>
    <row r="983" customFormat="false" ht="15" hidden="true" customHeight="true" outlineLevel="0" collapsed="false">
      <c r="B983" s="34" t="n">
        <f aca="false">B982*(1+B$794)+MAX(B919-B887,0)</f>
        <v>13250.0961009671</v>
      </c>
      <c r="C983" s="34" t="n">
        <f aca="false">C982*(1+C$794)+MAX(C919-C887,0)</f>
        <v>13422.7694329133</v>
      </c>
      <c r="D983" s="34" t="n">
        <f aca="false">D982*(1+D$794)+MAX(D919-D887,0)</f>
        <v>13597.9493755979</v>
      </c>
      <c r="E983" s="34" t="n">
        <f aca="false">E982*(1+E$794)+MAX(E919-E887,0)</f>
        <v>13775.664753136</v>
      </c>
      <c r="F983" s="34" t="n">
        <f aca="false">F982*(1+F$794)+MAX(F919-F887,0)</f>
        <v>13955.9445719908</v>
      </c>
      <c r="G983" s="34" t="n">
        <f aca="false">G982*(1+G$794)+MAX(G919-G887,0)</f>
        <v>14138.8180209728</v>
      </c>
    </row>
    <row r="984" customFormat="false" ht="15" hidden="true" customHeight="true" outlineLevel="0" collapsed="false">
      <c r="B984" s="34" t="n">
        <f aca="false">B983*(1+B$794)+MAX(B920-B888,0)</f>
        <v>19017.5609500324</v>
      </c>
      <c r="C984" s="34" t="n">
        <f aca="false">C983*(1+C$794)+MAX(C920-C888,0)</f>
        <v>19329.6421762662</v>
      </c>
      <c r="D984" s="34" t="n">
        <f aca="false">D983*(1+D$794)+MAX(D920-D888,0)</f>
        <v>19647.8088104141</v>
      </c>
      <c r="E984" s="34" t="n">
        <f aca="false">E983*(1+E$794)+MAX(E920-E888,0)</f>
        <v>19972.1666043606</v>
      </c>
      <c r="F984" s="34" t="n">
        <f aca="false">F983*(1+F$794)+MAX(F920-F888,0)</f>
        <v>20302.8226580665</v>
      </c>
      <c r="G984" s="34" t="n">
        <f aca="false">G983*(1+G$794)+MAX(G920-G888,0)</f>
        <v>20639.8854286869</v>
      </c>
    </row>
    <row r="985" customFormat="false" ht="15" hidden="true" customHeight="true" outlineLevel="0" collapsed="false">
      <c r="B985" s="34" t="n">
        <f aca="false">B984*(1+B$794)+MAX(B921-B889,0)</f>
        <v>25964.7036156477</v>
      </c>
      <c r="C985" s="34" t="n">
        <f aca="false">C984*(1+C$794)+MAX(C921-C889,0)</f>
        <v>26479.4437004312</v>
      </c>
      <c r="D985" s="34" t="n">
        <f aca="false">D984*(1+D$794)+MAX(D921-D889,0)</f>
        <v>27006.8150880491</v>
      </c>
      <c r="E985" s="34" t="n">
        <f aca="false">E984*(1+E$794)+MAX(E921-E889,0)</f>
        <v>27547.1124377365</v>
      </c>
      <c r="F985" s="34" t="n">
        <f aca="false">F984*(1+F$794)+MAX(F921-F889,0)</f>
        <v>28100.6360812454</v>
      </c>
      <c r="G985" s="34" t="n">
        <f aca="false">G984*(1+G$794)+MAX(G921-G889,0)</f>
        <v>28667.6921000962</v>
      </c>
    </row>
    <row r="986" customFormat="false" ht="15" hidden="true" customHeight="true" outlineLevel="0" collapsed="false">
      <c r="B986" s="34" t="n">
        <f aca="false">B985*(1+B$794)+MAX(B922-B890,0)</f>
        <v>34157.1140484417</v>
      </c>
      <c r="C986" s="34" t="n">
        <f aca="false">C985*(1+C$794)+MAX(C922-C890,0)</f>
        <v>34952.090772773</v>
      </c>
      <c r="D986" s="34" t="n">
        <f aca="false">D985*(1+D$794)+MAX(D922-D890,0)</f>
        <v>35770.6251667762</v>
      </c>
      <c r="E986" s="34" t="n">
        <f aca="false">E985*(1+E$794)+MAX(E922-E890,0)</f>
        <v>36613.4085083252</v>
      </c>
      <c r="F986" s="34" t="n">
        <f aca="false">F985*(1+F$794)+MAX(F922-F890,0)</f>
        <v>37481.1499312572</v>
      </c>
      <c r="G986" s="34" t="n">
        <f aca="false">G985*(1+G$794)+MAX(G922-G890,0)</f>
        <v>38374.5767924284</v>
      </c>
    </row>
    <row r="987" customFormat="false" ht="15" hidden="true" customHeight="true" outlineLevel="0" collapsed="false">
      <c r="B987" s="34" t="n">
        <f aca="false">B986*(1+B$794)+MAX(B923-B891,0)</f>
        <v>43663.2558860461</v>
      </c>
      <c r="C987" s="34" t="n">
        <f aca="false">C986*(1+C$794)+MAX(C923-C891,0)</f>
        <v>44831.6028198351</v>
      </c>
      <c r="D987" s="34" t="n">
        <f aca="false">D986*(1+D$794)+MAX(D923-D891,0)</f>
        <v>46040.5848412661</v>
      </c>
      <c r="E987" s="34" t="n">
        <f aca="false">E986*(1+E$794)+MAX(E923-E891,0)</f>
        <v>47291.6414349759</v>
      </c>
      <c r="F987" s="34" t="n">
        <f aca="false">F986*(1+F$794)+MAX(F923-F891,0)</f>
        <v>48586.2588425963</v>
      </c>
      <c r="G987" s="34" t="n">
        <f aca="false">G986*(1+G$794)+MAX(G923-G891,0)</f>
        <v>49925.9713519738</v>
      </c>
    </row>
    <row r="988" customFormat="false" ht="15" hidden="true" customHeight="true" outlineLevel="0" collapsed="false">
      <c r="B988" s="34" t="n">
        <f aca="false">B987*(1+B$794)+MAX(B924-B892,0)</f>
        <v>54554.57984336</v>
      </c>
      <c r="C988" s="34" t="n">
        <f aca="false">C987*(1+C$794)+MAX(C924-C892,0)</f>
        <v>56206.293213361</v>
      </c>
      <c r="D988" s="34" t="n">
        <f aca="false">D987*(1+D$794)+MAX(D924-D892,0)</f>
        <v>57924.040364062</v>
      </c>
      <c r="E988" s="34" t="n">
        <f aca="false">E987*(1+E$794)+MAX(E924-E892,0)</f>
        <v>59710.566201807</v>
      </c>
      <c r="F988" s="34" t="n">
        <f aca="false">F987*(1+F$794)+MAX(F924-F892,0)</f>
        <v>61568.7232423106</v>
      </c>
      <c r="G988" s="34" t="n">
        <f aca="false">G987*(1+G$794)+MAX(G924-G892,0)</f>
        <v>63501.4753408643</v>
      </c>
    </row>
    <row r="989" customFormat="false" ht="15" hidden="true" customHeight="true" outlineLevel="0" collapsed="false">
      <c r="B989" s="34" t="n">
        <f aca="false">B988*(1+B$794)+MAX(B925-B893,0)</f>
        <v>66905.6413199122</v>
      </c>
      <c r="C989" s="34" t="n">
        <f aca="false">C988*(1+C$794)+MAX(C925-C893,0)</f>
        <v>69168.9690231468</v>
      </c>
      <c r="D989" s="34" t="n">
        <f aca="false">D988*(1+D$794)+MAX(D925-D893,0)</f>
        <v>71534.6664635164</v>
      </c>
      <c r="E989" s="34" t="n">
        <f aca="false">E988*(1+E$794)+MAX(E925-E893,0)</f>
        <v>74007.6242551668</v>
      </c>
      <c r="F989" s="34" t="n">
        <f aca="false">F988*(1+F$794)+MAX(F925-F893,0)</f>
        <v>76592.9579505237</v>
      </c>
      <c r="G989" s="34" t="n">
        <f aca="false">G988*(1+G$794)+MAX(G925-G893,0)</f>
        <v>79296.0174493848</v>
      </c>
    </row>
    <row r="990" customFormat="false" ht="15" hidden="true" customHeight="true" outlineLevel="0" collapsed="false"/>
    <row r="991" customFormat="false" ht="15" hidden="true" customHeight="true" outlineLevel="0" collapsed="false">
      <c r="A991" s="33" t="s">
        <v>97</v>
      </c>
      <c r="B991" s="34" t="n">
        <f aca="false">B799*(1-Inputs!$B$14)-B831+B959-B927</f>
        <v>-38619</v>
      </c>
      <c r="C991" s="34" t="n">
        <f aca="false">C799*(1-Inputs!$B$14)-C831+C959-C927</f>
        <v>-38619</v>
      </c>
      <c r="D991" s="34" t="n">
        <f aca="false">D799*(1-Inputs!$B$14)-D831+D959-D927</f>
        <v>-38619</v>
      </c>
      <c r="E991" s="34" t="n">
        <f aca="false">E799*(1-Inputs!$B$14)-E831+E959-E927</f>
        <v>-38619</v>
      </c>
      <c r="F991" s="34" t="n">
        <f aca="false">F799*(1-Inputs!$B$14)-F831+F959-F927</f>
        <v>-38619</v>
      </c>
      <c r="G991" s="34" t="n">
        <f aca="false">G799*(1-Inputs!$B$14)-G831+G959-G927</f>
        <v>-38619</v>
      </c>
    </row>
    <row r="992" customFormat="false" ht="15" hidden="true" customHeight="true" outlineLevel="0" collapsed="false">
      <c r="B992" s="34" t="n">
        <f aca="false">B800*(1-Inputs!$B$14)-B832+B960-B928</f>
        <v>-37854.2870698949</v>
      </c>
      <c r="C992" s="34" t="n">
        <f aca="false">C800*(1-Inputs!$B$14)-C832+C960-C928</f>
        <v>-38841.2170698949</v>
      </c>
      <c r="D992" s="34" t="n">
        <f aca="false">D800*(1-Inputs!$B$14)-D832+D960-D928</f>
        <v>-39828.1470698949</v>
      </c>
      <c r="E992" s="34" t="n">
        <f aca="false">E800*(1-Inputs!$B$14)-E832+E960-E928</f>
        <v>-40815.0770698949</v>
      </c>
      <c r="F992" s="34" t="n">
        <f aca="false">F800*(1-Inputs!$B$14)-F832+F960-F928</f>
        <v>-41802.0070698949</v>
      </c>
      <c r="G992" s="34" t="n">
        <f aca="false">G800*(1-Inputs!$B$14)-G832+G960-G928</f>
        <v>-42788.9370698949</v>
      </c>
    </row>
    <row r="993" customFormat="false" ht="15" hidden="true" customHeight="true" outlineLevel="0" collapsed="false">
      <c r="B993" s="34" t="n">
        <f aca="false">B801*(1-Inputs!$B$14)-B833+B961-B929</f>
        <v>-36421.8502518867</v>
      </c>
      <c r="C993" s="34" t="n">
        <f aca="false">C801*(1-Inputs!$B$14)-C833+C961-C929</f>
        <v>-38581.5780225856</v>
      </c>
      <c r="D993" s="34" t="n">
        <f aca="false">D801*(1-Inputs!$B$14)-D833+D961-D929</f>
        <v>-40761.0443932846</v>
      </c>
      <c r="E993" s="34" t="n">
        <f aca="false">E801*(1-Inputs!$B$14)-E833+E961-E929</f>
        <v>-42960.2493639835</v>
      </c>
      <c r="F993" s="34" t="n">
        <f aca="false">F801*(1-Inputs!$B$14)-F833+F961-F929</f>
        <v>-45179.1929346825</v>
      </c>
      <c r="G993" s="34" t="n">
        <f aca="false">G801*(1-Inputs!$B$14)-G833+G961-G929</f>
        <v>-47417.8751053815</v>
      </c>
    </row>
    <row r="994" customFormat="false" ht="15" hidden="true" customHeight="true" outlineLevel="0" collapsed="false">
      <c r="B994" s="34" t="n">
        <f aca="false">B802*(1-Inputs!$B$14)-B834+B962-B930</f>
        <v>-34275.5717193382</v>
      </c>
      <c r="C994" s="34" t="n">
        <f aca="false">C802*(1-Inputs!$B$14)-C834+C962-C930</f>
        <v>-37800.839389384</v>
      </c>
      <c r="D994" s="34" t="n">
        <f aca="false">D802*(1-Inputs!$B$14)-D834+D962-D930</f>
        <v>-41390.0271448437</v>
      </c>
      <c r="E994" s="34" t="n">
        <f aca="false">E802*(1-Inputs!$B$14)-E834+E962-E930</f>
        <v>-45043.7271437174</v>
      </c>
      <c r="F994" s="34" t="n">
        <f aca="false">F802*(1-Inputs!$B$14)-F834+F962-F930</f>
        <v>-48762.5315440052</v>
      </c>
      <c r="G994" s="34" t="n">
        <f aca="false">G802*(1-Inputs!$B$14)-G834+G962-G930</f>
        <v>-52547.0325037069</v>
      </c>
    </row>
    <row r="995" customFormat="false" ht="15" hidden="true" customHeight="true" outlineLevel="0" collapsed="false">
      <c r="B995" s="34" t="n">
        <f aca="false">B803*(1-Inputs!$B$14)-B835+B963-B931</f>
        <v>-31366.5951245133</v>
      </c>
      <c r="C995" s="34" t="n">
        <f aca="false">C803*(1-Inputs!$B$14)-C835+C963-C931</f>
        <v>-36457.1287821343</v>
      </c>
      <c r="D995" s="34" t="n">
        <f aca="false">D803*(1-Inputs!$B$14)-D835+D963-D931</f>
        <v>-41685.2838828409</v>
      </c>
      <c r="E995" s="34" t="n">
        <f aca="false">E803*(1-Inputs!$B$14)-E835+E963-E931</f>
        <v>-47053.6057166755</v>
      </c>
      <c r="F995" s="34" t="n">
        <f aca="false">F803*(1-Inputs!$B$14)-F835+F963-F931</f>
        <v>-52564.6632600005</v>
      </c>
      <c r="G995" s="34" t="n">
        <f aca="false">G803*(1-Inputs!$B$14)-G835+G963-G931</f>
        <v>-58221.0491754984</v>
      </c>
    </row>
    <row r="996" customFormat="false" ht="15" hidden="true" customHeight="true" outlineLevel="0" collapsed="false">
      <c r="B996" s="34" t="n">
        <f aca="false">B804*(1-Inputs!$B$14)-B836+B964-B932</f>
        <v>-27643.2841723546</v>
      </c>
      <c r="C996" s="34" t="n">
        <f aca="false">C804*(1-Inputs!$B$14)-C836+C964-C932</f>
        <v>-34505.898433013</v>
      </c>
      <c r="D996" s="34" t="n">
        <f aca="false">D804*(1-Inputs!$B$14)-D836+D964-D932</f>
        <v>-41614.8258820637</v>
      </c>
      <c r="E996" s="34" t="n">
        <f aca="false">E804*(1-Inputs!$B$14)-E836+E964-E932</f>
        <v>-48976.8931702441</v>
      </c>
      <c r="F996" s="34" t="n">
        <f aca="false">F804*(1-Inputs!$B$14)-F836+F964-F932</f>
        <v>-56599.0541042561</v>
      </c>
      <c r="G996" s="34" t="n">
        <f aca="false">G804*(1-Inputs!$B$14)-G836+G964-G932</f>
        <v>-64488.3908310812</v>
      </c>
    </row>
    <row r="997" customFormat="false" ht="15" hidden="true" customHeight="true" outlineLevel="0" collapsed="false">
      <c r="B997" s="34" t="n">
        <f aca="false">B805*(1-Inputs!$B$14)-B837+B965-B933</f>
        <v>-23050.9692503575</v>
      </c>
      <c r="C997" s="34" t="n">
        <f aca="false">C805*(1-Inputs!$B$14)-C837+C965-C933</f>
        <v>-31899.6661728177</v>
      </c>
      <c r="D997" s="34" t="n">
        <f aca="false">D805*(1-Inputs!$B$14)-D837+D965-D933</f>
        <v>-41144.2442283031</v>
      </c>
      <c r="E997" s="34" t="n">
        <f aca="false">E805*(1-Inputs!$B$14)-E837+E965-E933</f>
        <v>-50799.329062247</v>
      </c>
      <c r="F997" s="34" t="n">
        <f aca="false">F805*(1-Inputs!$B$14)-F837+F965-F933</f>
        <v>-60879.9554429943</v>
      </c>
      <c r="G997" s="34" t="n">
        <f aca="false">G805*(1-Inputs!$B$14)-G837+G965-G933</f>
        <v>-71401.57489866</v>
      </c>
    </row>
    <row r="998" customFormat="false" ht="15" hidden="true" customHeight="true" outlineLevel="0" collapsed="false">
      <c r="B998" s="34" t="n">
        <f aca="false">B806*(1-Inputs!$B$14)-B838+B966-B934</f>
        <v>-17531.8120441886</v>
      </c>
      <c r="C998" s="34" t="n">
        <f aca="false">C806*(1-Inputs!$B$14)-C838+C966-C934</f>
        <v>-28587.8737361923</v>
      </c>
      <c r="D998" s="34" t="n">
        <f aca="false">D806*(1-Inputs!$B$14)-D838+D966-D934</f>
        <v>-40236.5845563217</v>
      </c>
      <c r="E998" s="34" t="n">
        <f aca="false">E806*(1-Inputs!$B$14)-E838+E966-E934</f>
        <v>-52505.3241227269</v>
      </c>
      <c r="F998" s="34" t="n">
        <f aca="false">F806*(1-Inputs!$B$14)-F838+F966-F934</f>
        <v>-65422.4948408905</v>
      </c>
      <c r="G998" s="34" t="n">
        <f aca="false">G806*(1-Inputs!$B$14)-G838+G966-G934</f>
        <v>-79017.550607581</v>
      </c>
    </row>
    <row r="999" customFormat="false" ht="15" hidden="true" customHeight="true" outlineLevel="0" collapsed="false">
      <c r="B999" s="34" t="n">
        <f aca="false">B807*(1-Inputs!$B$14)-B839+B967-B935</f>
        <v>-11024.5980662274</v>
      </c>
      <c r="C999" s="34" t="n">
        <f aca="false">C807*(1-Inputs!$B$14)-C839+C967-C935</f>
        <v>-24516.672277499</v>
      </c>
      <c r="D999" s="34" t="n">
        <f aca="false">D807*(1-Inputs!$B$14)-D839+D967-D935</f>
        <v>-38852.1493071426</v>
      </c>
      <c r="E999" s="34" t="n">
        <f aca="false">E807*(1-Inputs!$B$14)-E839+E967-E935</f>
        <v>-54077.8310242412</v>
      </c>
      <c r="F999" s="34" t="n">
        <f aca="false">F807*(1-Inputs!$B$14)-F839+F967-F935</f>
        <v>-70242.7088650493</v>
      </c>
      <c r="G999" s="34" t="n">
        <f aca="false">G807*(1-Inputs!$B$14)-G839+G967-G935</f>
        <v>-87398.0459726298</v>
      </c>
    </row>
    <row r="1000" customFormat="false" ht="15" hidden="true" customHeight="true" outlineLevel="0" collapsed="false">
      <c r="B1000" s="34" t="n">
        <f aca="false">B808*(1-Inputs!$B$14)-B840+B968-B936</f>
        <v>-3464.53702165181</v>
      </c>
      <c r="C1000" s="34" t="n">
        <f aca="false">C808*(1-Inputs!$B$14)-C840+C968-C936</f>
        <v>-19628.7149761168</v>
      </c>
      <c r="D1000" s="34" t="n">
        <f aca="false">D808*(1-Inputs!$B$14)-D840+D968-D936</f>
        <v>-36948.3073740978</v>
      </c>
      <c r="E1000" s="34" t="n">
        <f aca="false">E808*(1-Inputs!$B$14)-E840+E968-E936</f>
        <v>-55498.2262813739</v>
      </c>
      <c r="F1000" s="34" t="n">
        <f aca="false">F808*(1-Inputs!$B$14)-F840+F968-F936</f>
        <v>-75357.5986753613</v>
      </c>
      <c r="G1000" s="34" t="n">
        <f aca="false">G808*(1-Inputs!$B$14)-G840+G968-G936</f>
        <v>-96609.9646342789</v>
      </c>
    </row>
    <row r="1001" customFormat="false" ht="15" hidden="true" customHeight="true" outlineLevel="0" collapsed="false">
      <c r="B1001" s="34" t="n">
        <f aca="false">B809*(1-Inputs!$B$14)-B841+B969-B937</f>
        <v>5216.93906595479</v>
      </c>
      <c r="C1001" s="34" t="n">
        <f aca="false">C809*(1-Inputs!$B$14)-C841+C969-C937</f>
        <v>-13862.9466048079</v>
      </c>
      <c r="D1001" s="34" t="n">
        <f aca="false">D809*(1-Inputs!$B$14)-D841+D969-D937</f>
        <v>-34479.3010003518</v>
      </c>
      <c r="E1001" s="34" t="n">
        <f aca="false">E809*(1-Inputs!$B$14)-E841+E969-E937</f>
        <v>-56746.1933437081</v>
      </c>
      <c r="F1001" s="34" t="n">
        <f aca="false">F809*(1-Inputs!$B$14)-F841+F969-F937</f>
        <v>-80785.1992959909</v>
      </c>
      <c r="G1001" s="34" t="n">
        <f aca="false">G809*(1-Inputs!$B$14)-G841+G969-G937</f>
        <v>-106725.825746278</v>
      </c>
    </row>
    <row r="1002" customFormat="false" ht="15" hidden="true" customHeight="true" outlineLevel="0" collapsed="false">
      <c r="B1002" s="34" t="n">
        <f aca="false">B810*(1-Inputs!$B$14)-B842+B970-B938</f>
        <v>15092.4100502339</v>
      </c>
      <c r="C1002" s="34" t="n">
        <f aca="false">C810*(1-Inputs!$B$14)-C842+C970-C938</f>
        <v>-7154.35992943938</v>
      </c>
      <c r="D1002" s="34" t="n">
        <f aca="false">D810*(1-Inputs!$B$14)-D842+D970-D938</f>
        <v>-31396.0197835483</v>
      </c>
      <c r="E1002" s="34" t="n">
        <f aca="false">E810*(1-Inputs!$B$14)-E842+E970-E938</f>
        <v>-57799.5769502491</v>
      </c>
      <c r="F1002" s="34" t="n">
        <f aca="false">F810*(1-Inputs!$B$14)-F842+F970-F938</f>
        <v>-86544.6335253685</v>
      </c>
      <c r="G1002" s="34" t="n">
        <f aca="false">G810*(1-Inputs!$B$14)-G842+G970-G938</f>
        <v>-117824.220357378</v>
      </c>
    </row>
    <row r="1003" customFormat="false" ht="15" hidden="true" customHeight="true" outlineLevel="0" collapsed="false">
      <c r="B1003" s="34" t="n">
        <f aca="false">B811*(1-Inputs!$B$14)-B843+B971-B939</f>
        <v>26238.7142625075</v>
      </c>
      <c r="C1003" s="34" t="n">
        <f aca="false">C811*(1-Inputs!$B$14)-C843+C971-C939</f>
        <v>566.261197227635</v>
      </c>
      <c r="D1003" s="34" t="n">
        <f aca="false">D811*(1-Inputs!$B$14)-D843+D971-D939</f>
        <v>-27645.761635803</v>
      </c>
      <c r="E1003" s="34" t="n">
        <f aca="false">E811*(1-Inputs!$B$14)-E843+E971-E939</f>
        <v>-58634.2288172632</v>
      </c>
      <c r="F1003" s="34" t="n">
        <f aca="false">F811*(1-Inputs!$B$14)-F843+F971-F939</f>
        <v>-92656.1715090653</v>
      </c>
      <c r="G1003" s="34" t="n">
        <f aca="false">G811*(1-Inputs!$B$14)-G843+G971-G939</f>
        <v>-129990.308009812</v>
      </c>
    </row>
    <row r="1004" customFormat="false" ht="15" hidden="true" customHeight="true" outlineLevel="0" collapsed="false">
      <c r="B1004" s="34" t="n">
        <f aca="false">B812*(1-Inputs!$B$14)-B844+B972-B940</f>
        <v>38737.2076035689</v>
      </c>
      <c r="C1004" s="34" t="n">
        <f aca="false">C812*(1-Inputs!$B$14)-C844+C972-C940</f>
        <v>9372.61219077342</v>
      </c>
      <c r="D1004" s="34" t="n">
        <f aca="false">D812*(1-Inputs!$B$14)-D844+D972-D940</f>
        <v>-23171.980539466</v>
      </c>
      <c r="E1004" s="34" t="n">
        <f aca="false">E812*(1-Inputs!$B$14)-E844+E972-E940</f>
        <v>-59223.8447357015</v>
      </c>
      <c r="F1004" s="34" t="n">
        <f aca="false">F812*(1-Inputs!$B$14)-F844+F972-F940</f>
        <v>-99141.2970716318</v>
      </c>
      <c r="G1004" s="34" t="n">
        <f aca="false">G812*(1-Inputs!$B$14)-G844+G972-G940</f>
        <v>-143316.357575058</v>
      </c>
    </row>
    <row r="1005" customFormat="false" ht="15" hidden="true" customHeight="true" outlineLevel="0" collapsed="false">
      <c r="B1005" s="34" t="n">
        <f aca="false">B813*(1-Inputs!$B$14)-B845+B973-B941</f>
        <v>52674.0452163546</v>
      </c>
      <c r="C1005" s="34" t="n">
        <f aca="false">C813*(1-Inputs!$B$14)-C845+C973-C941</f>
        <v>19343.1616885276</v>
      </c>
      <c r="D1005" s="34" t="n">
        <f aca="false">D813*(1-Inputs!$B$14)-D845+D973-D941</f>
        <v>-17914.0109308714</v>
      </c>
      <c r="E1005" s="34" t="n">
        <f aca="false">E813*(1-Inputs!$B$14)-E845+E973-E941</f>
        <v>-59539.7831588311</v>
      </c>
      <c r="F1005" s="34" t="n">
        <f aca="false">F813*(1-Inputs!$B$14)-F845+F973-F941</f>
        <v>-106022.771980189</v>
      </c>
      <c r="G1005" s="34" t="n">
        <f aca="false">G813*(1-Inputs!$B$14)-G845+G973-G941</f>
        <v>-157902.326669161</v>
      </c>
    </row>
    <row r="1006" customFormat="false" ht="15" hidden="true" customHeight="true" outlineLevel="0" collapsed="false">
      <c r="B1006" s="34" t="n">
        <f aca="false">B814*(1-Inputs!$B$14)-B846+B974-B942</f>
        <v>68140.4458321612</v>
      </c>
      <c r="C1006" s="34" t="n">
        <f aca="false">C814*(1-Inputs!$B$14)-C846+C974-C942</f>
        <v>30561.4292565926</v>
      </c>
      <c r="D1006" s="34" t="n">
        <f aca="false">D814*(1-Inputs!$B$14)-D846+D974-D942</f>
        <v>-11806.8085356831</v>
      </c>
      <c r="E1006" s="34" t="n">
        <f aca="false">E814*(1-Inputs!$B$14)-E846+E974-E942</f>
        <v>-59550.9053654213</v>
      </c>
      <c r="F1006" s="34" t="n">
        <f aca="false">F814*(1-Inputs!$B$14)-F846+F974-F942</f>
        <v>-113324.739394655</v>
      </c>
      <c r="G1006" s="34" t="n">
        <f aca="false">G814*(1-Inputs!$B$14)-G846+G974-G942</f>
        <v>-173856.524337338</v>
      </c>
    </row>
    <row r="1007" customFormat="false" ht="15" hidden="true" customHeight="true" outlineLevel="0" collapsed="false">
      <c r="B1007" s="34" t="n">
        <f aca="false">B815*(1-Inputs!$B$14)-B847+B975-B943</f>
        <v>85233.0488863183</v>
      </c>
      <c r="C1007" s="34" t="n">
        <f aca="false">C815*(1-Inputs!$B$14)-C847+C975-C943</f>
        <v>43116.3570124927</v>
      </c>
      <c r="D1007" s="34" t="n">
        <f aca="false">D815*(1-Inputs!$B$14)-D847+D975-D943</f>
        <v>-4780.59747038683</v>
      </c>
      <c r="E1007" s="34" t="n">
        <f aca="false">E815*(1-Inputs!$B$14)-E847+E975-E943</f>
        <v>-59223.3272888219</v>
      </c>
      <c r="F1007" s="34" t="n">
        <f aca="false">F815*(1-Inputs!$B$14)-F847+F975-F943</f>
        <v>-121072.757847312</v>
      </c>
      <c r="G1007" s="34" t="n">
        <f aca="false">G815*(1-Inputs!$B$14)-G847+G975-G943</f>
        <v>-191296.252072913</v>
      </c>
    </row>
    <row r="1008" customFormat="false" ht="15" hidden="true" customHeight="true" outlineLevel="0" collapsed="false">
      <c r="B1008" s="34" t="n">
        <f aca="false">B816*(1-Inputs!$B$14)-B848+B976-B944</f>
        <v>104054.214502573</v>
      </c>
      <c r="C1008" s="34" t="n">
        <f aca="false">C816*(1-Inputs!$B$14)-C848+C976-C944</f>
        <v>57102.6253322948</v>
      </c>
      <c r="D1008" s="34" t="n">
        <f aca="false">D816*(1-Inputs!$B$14)-D848+D976-D944</f>
        <v>3239.42658503371</v>
      </c>
      <c r="E1008" s="34" t="n">
        <f aca="false">E816*(1-Inputs!$B$14)-E848+E976-E944</f>
        <v>-58520.2331075739</v>
      </c>
      <c r="F1008" s="34" t="n">
        <f aca="false">F816*(1-Inputs!$B$14)-F848+F976-F944</f>
        <v>-129293.917188409</v>
      </c>
      <c r="G1008" s="34" t="n">
        <f aca="false">G816*(1-Inputs!$B$14)-G848+G976-G944</f>
        <v>-210348.578640893</v>
      </c>
    </row>
    <row r="1009" customFormat="false" ht="15" hidden="true" customHeight="true" outlineLevel="0" collapsed="false">
      <c r="B1009" s="34" t="n">
        <f aca="false">B817*(1-Inputs!$B$14)-B849+B977-B945</f>
        <v>124712.386448902</v>
      </c>
      <c r="C1009" s="34" t="n">
        <f aca="false">C817*(1-Inputs!$B$14)-C849+C977-C945</f>
        <v>72621.0328181649</v>
      </c>
      <c r="D1009" s="34" t="n">
        <f aca="false">D817*(1-Inputs!$B$14)-D849+D977-D945</f>
        <v>12333.4573481902</v>
      </c>
      <c r="E1009" s="34" t="n">
        <f aca="false">E817*(1-Inputs!$B$14)-E849+E977-E945</f>
        <v>-57401.6306987969</v>
      </c>
      <c r="F1009" s="34" t="n">
        <f aca="false">F817*(1-Inputs!$B$14)-F849+F977-F945</f>
        <v>-138016.918035039</v>
      </c>
      <c r="G1009" s="34" t="n">
        <f aca="false">G817*(1-Inputs!$B$14)-G849+G977-G945</f>
        <v>-231151.13461428</v>
      </c>
    </row>
    <row r="1010" customFormat="false" ht="15" hidden="true" customHeight="true" outlineLevel="0" collapsed="false">
      <c r="B1010" s="34" t="n">
        <f aca="false">B818*(1-Inputs!$B$14)-B850+B978-B946</f>
        <v>147322.468171055</v>
      </c>
      <c r="C1010" s="34" t="n">
        <f aca="false">C818*(1-Inputs!$B$14)-C850+C978-C946</f>
        <v>89778.8907097438</v>
      </c>
      <c r="D1010" s="34" t="n">
        <f aca="false">D818*(1-Inputs!$B$14)-D850+D978-D946</f>
        <v>22587.4532446185</v>
      </c>
      <c r="E1010" s="34" t="n">
        <f aca="false">E818*(1-Inputs!$B$14)-E850+E978-E946</f>
        <v>-55824.0990615395</v>
      </c>
      <c r="F1010" s="34" t="n">
        <f aca="false">F818*(1-Inputs!$B$14)-F850+F978-F946</f>
        <v>-147272.166368141</v>
      </c>
      <c r="G1010" s="34" t="n">
        <f aca="false">G818*(1-Inputs!$B$14)-G850+G978-G946</f>
        <v>-253852.983003904</v>
      </c>
    </row>
    <row r="1011" customFormat="false" ht="15" hidden="true" customHeight="true" outlineLevel="0" collapsed="false">
      <c r="B1011" s="34" t="n">
        <f aca="false">B819*(1-Inputs!$B$14)-B851+B979-B947</f>
        <v>172006.25201383</v>
      </c>
      <c r="C1011" s="34" t="n">
        <f aca="false">C819*(1-Inputs!$B$14)-C851+C979-C947</f>
        <v>108690.471930449</v>
      </c>
      <c r="D1011" s="34" t="n">
        <f aca="false">D819*(1-Inputs!$B$14)-D851+D979-D947</f>
        <v>34093.5672938359</v>
      </c>
      <c r="E1011" s="34" t="n">
        <f aca="false">E819*(1-Inputs!$B$14)-E851+E979-E947</f>
        <v>-53740.4878235741</v>
      </c>
      <c r="F1011" s="34" t="n">
        <f aca="false">F819*(1-Inputs!$B$14)-F851+F979-F947</f>
        <v>-157091.845037581</v>
      </c>
      <c r="G1011" s="34" t="n">
        <f aca="false">G819*(1-Inputs!$B$14)-G851+G979-G947</f>
        <v>-278615.532873216</v>
      </c>
    </row>
    <row r="1012" customFormat="false" ht="15" hidden="true" customHeight="true" outlineLevel="0" collapsed="false">
      <c r="B1012" s="34" t="n">
        <f aca="false">B820*(1-Inputs!$B$14)-B852+B980-B948</f>
        <v>198892.811743914</v>
      </c>
      <c r="C1012" s="34" t="n">
        <f aca="false">C820*(1-Inputs!$B$14)-C852+C980-C948</f>
        <v>129477.424967848</v>
      </c>
      <c r="D1012" s="34" t="n">
        <f aca="false">D820*(1-Inputs!$B$14)-D852+D980-D948</f>
        <v>46950.5418092203</v>
      </c>
      <c r="E1012" s="34" t="n">
        <f aca="false">E820*(1-Inputs!$B$14)-E852+E980-E948</f>
        <v>-51099.6589517844</v>
      </c>
      <c r="F1012" s="34" t="n">
        <f aca="false">F820*(1-Inputs!$B$14)-F852+F980-F948</f>
        <v>-167510.054058496</v>
      </c>
      <c r="G1012" s="34" t="n">
        <f aca="false">G820*(1-Inputs!$B$14)-G852+G980-G948</f>
        <v>-305613.593380846</v>
      </c>
    </row>
    <row r="1013" customFormat="false" ht="15" hidden="true" customHeight="true" outlineLevel="0" collapsed="false">
      <c r="B1013" s="34" t="n">
        <f aca="false">B821*(1-Inputs!$B$14)-B853+B981-B949</f>
        <v>228118.988492088</v>
      </c>
      <c r="C1013" s="34" t="n">
        <f aca="false">C821*(1-Inputs!$B$14)-C853+C981-C949</f>
        <v>152269.282795645</v>
      </c>
      <c r="D1013" s="34" t="n">
        <f aca="false">D821*(1-Inputs!$B$14)-D853+D981-D949</f>
        <v>61264.1981619918</v>
      </c>
      <c r="E1013" s="34" t="n">
        <f aca="false">E821*(1-Inputs!$B$14)-E853+E981-E949</f>
        <v>-47846.1407933543</v>
      </c>
      <c r="F1013" s="34" t="n">
        <f aca="false">F821*(1-Inputs!$B$14)-F853+F981-F949</f>
        <v>-178562.891713827</v>
      </c>
      <c r="G1013" s="34" t="n">
        <f aca="false">G821*(1-Inputs!$B$14)-G853+G981-G949</f>
        <v>-335036.446289323</v>
      </c>
    </row>
    <row r="1014" customFormat="false" ht="15" hidden="true" customHeight="true" outlineLevel="0" collapsed="false">
      <c r="B1014" s="34" t="n">
        <f aca="false">B822*(1-Inputs!$B$14)-B854+B982-B950</f>
        <v>259829.89023668</v>
      </c>
      <c r="C1014" s="34" t="n">
        <f aca="false">C822*(1-Inputs!$B$14)-C854+C982-C950</f>
        <v>177203.987053524</v>
      </c>
      <c r="D1014" s="34" t="n">
        <f aca="false">D822*(1-Inputs!$B$14)-D854+D982-D950</f>
        <v>77147.9418723679</v>
      </c>
      <c r="E1014" s="34" t="n">
        <f aca="false">E822*(1-Inputs!$B$14)-E854+E982-E950</f>
        <v>-43919.7745824552</v>
      </c>
      <c r="F1014" s="34" t="n">
        <f aca="false">F822*(1-Inputs!$B$14)-F854+F982-F950</f>
        <v>-190288.558619071</v>
      </c>
      <c r="G1014" s="34" t="n">
        <f aca="false">G822*(1-Inputs!$B$14)-G854+G982-G950</f>
        <v>-367089.025621521</v>
      </c>
    </row>
    <row r="1015" customFormat="false" ht="15" hidden="true" customHeight="true" outlineLevel="0" collapsed="false">
      <c r="B1015" s="34" t="n">
        <f aca="false">B823*(1-Inputs!$B$14)-B855+B983-B951</f>
        <v>294179.384954402</v>
      </c>
      <c r="C1015" s="34" t="n">
        <f aca="false">C823*(1-Inputs!$B$14)-C855+C983-C951</f>
        <v>204428.407710196</v>
      </c>
      <c r="D1015" s="34" t="n">
        <f aca="false">D823*(1-Inputs!$B$14)-D855+D983-D951</f>
        <v>94723.2633044279</v>
      </c>
      <c r="E1015" s="34" t="n">
        <f aca="false">E823*(1-Inputs!$B$14)-E855+E983-E951</f>
        <v>-39255.3735550506</v>
      </c>
      <c r="F1015" s="34" t="n">
        <f aca="false">F823*(1-Inputs!$B$14)-F855+F983-F951</f>
        <v>-202727.507056143</v>
      </c>
      <c r="G1015" s="34" t="n">
        <f aca="false">G823*(1-Inputs!$B$14)-G855+G983-G951</f>
        <v>-401993.23384107</v>
      </c>
    </row>
    <row r="1016" customFormat="false" ht="15" hidden="true" customHeight="true" outlineLevel="0" collapsed="false">
      <c r="B1016" s="34" t="n">
        <f aca="false">B824*(1-Inputs!$B$14)-B856+B984-B952</f>
        <v>331330.67756907</v>
      </c>
      <c r="C1016" s="34" t="n">
        <f aca="false">C824*(1-Inputs!$B$14)-C856+C984-C952</f>
        <v>234098.948444468</v>
      </c>
      <c r="D1016" s="34" t="n">
        <f aca="false">D824*(1-Inputs!$B$14)-D856+D984-D952</f>
        <v>114120.324255341</v>
      </c>
      <c r="E1016" s="34" t="n">
        <f aca="false">E824*(1-Inputs!$B$14)-E856+E984-E952</f>
        <v>-33782.3048228341</v>
      </c>
      <c r="F1016" s="34" t="n">
        <f aca="false">F824*(1-Inputs!$B$14)-F856+F984-F952</f>
        <v>-215922.548044726</v>
      </c>
      <c r="G1016" s="34" t="n">
        <f aca="false">G824*(1-Inputs!$B$14)-G856+G984-G952</f>
        <v>-439989.314683181</v>
      </c>
    </row>
    <row r="1017" customFormat="false" ht="15" hidden="true" customHeight="true" outlineLevel="0" collapsed="false">
      <c r="B1017" s="34" t="n">
        <f aca="false">B825*(1-Inputs!$B$14)-B857+B985-B953</f>
        <v>371456.910833256</v>
      </c>
      <c r="C1017" s="34" t="n">
        <f aca="false">C825*(1-Inputs!$B$14)-C857+C985-C953</f>
        <v>266382.177988983</v>
      </c>
      <c r="D1017" s="34" t="n">
        <f aca="false">D825*(1-Inputs!$B$14)-D857+D985-D953</f>
        <v>135478.570744467</v>
      </c>
      <c r="E1017" s="34" t="n">
        <f aca="false">E825*(1-Inputs!$B$14)-E857+E985-E953</f>
        <v>-27424.0541662223</v>
      </c>
      <c r="F1017" s="34" t="n">
        <f aca="false">F825*(1-Inputs!$B$14)-F857+F985-F953</f>
        <v>-229918.978792252</v>
      </c>
      <c r="G1017" s="34" t="n">
        <f aca="false">G825*(1-Inputs!$B$14)-G857+G985-G953</f>
        <v>-481337.353572609</v>
      </c>
    </row>
    <row r="1018" customFormat="false" ht="15" hidden="true" customHeight="true" outlineLevel="0" collapsed="false">
      <c r="B1018" s="34" t="n">
        <f aca="false">B826*(1-Inputs!$B$14)-B858+B986-B954</f>
        <v>414741.810282578</v>
      </c>
      <c r="C1018" s="34" t="n">
        <f aca="false">C826*(1-Inputs!$B$14)-C858+C986-C954</f>
        <v>301455.507691579</v>
      </c>
      <c r="D1018" s="34" t="n">
        <f aca="false">D826*(1-Inputs!$B$14)-D858+D986-D954</f>
        <v>158947.392323438</v>
      </c>
      <c r="E1018" s="34" t="n">
        <f aca="false">E826*(1-Inputs!$B$14)-E858+E986-E954</f>
        <v>-20097.7539157376</v>
      </c>
      <c r="F1018" s="34" t="n">
        <f aca="false">F826*(1-Inputs!$B$14)-F858+F986-F954</f>
        <v>-244764.713348541</v>
      </c>
      <c r="G1018" s="34" t="n">
        <f aca="false">G826*(1-Inputs!$B$14)-G858+G986-G954</f>
        <v>-526318.897440537</v>
      </c>
    </row>
    <row r="1019" customFormat="false" ht="15" hidden="true" customHeight="true" outlineLevel="0" collapsed="false">
      <c r="B1019" s="34" t="n">
        <f aca="false">B827*(1-Inputs!$B$14)-B859+B987-B955</f>
        <v>461380.343407207</v>
      </c>
      <c r="C1019" s="34" t="n">
        <f aca="false">C827*(1-Inputs!$B$14)-C859+C987-C955</f>
        <v>339507.885559865</v>
      </c>
      <c r="D1019" s="34" t="n">
        <f aca="false">D827*(1-Inputs!$B$14)-D859+D987-D955</f>
        <v>184686.798244706</v>
      </c>
      <c r="E1019" s="34" t="n">
        <f aca="false">E827*(1-Inputs!$B$14)-E859+E987-E955</f>
        <v>-11713.7041011131</v>
      </c>
      <c r="F1019" s="34" t="n">
        <f aca="false">F827*(1-Inputs!$B$14)-F859+F987-F955</f>
        <v>-260510.449488898</v>
      </c>
      <c r="G1019" s="34" t="n">
        <f aca="false">G827*(1-Inputs!$B$14)-G859+G987-G955</f>
        <v>-575238.736697266</v>
      </c>
    </row>
    <row r="1020" customFormat="false" ht="15" hidden="true" customHeight="true" outlineLevel="0" collapsed="false">
      <c r="B1020" s="34" t="n">
        <f aca="false">B828*(1-Inputs!$B$14)-B860+B988-B956</f>
        <v>511579.463190156</v>
      </c>
      <c r="C1020" s="34" t="n">
        <f aca="false">C828*(1-Inputs!$B$14)-C860+C988-C956</f>
        <v>380740.577065799</v>
      </c>
      <c r="D1020" s="34" t="n">
        <f aca="false">D828*(1-Inputs!$B$14)-D860+D988-D956</f>
        <v>212868.180843287</v>
      </c>
      <c r="E1020" s="34" t="n">
        <f aca="false">E828*(1-Inputs!$B$14)-E860+E988-E956</f>
        <v>-2174.81705802726</v>
      </c>
      <c r="F1020" s="34" t="n">
        <f aca="false">F828*(1-Inputs!$B$14)-F860+F988-F956</f>
        <v>-277209.805061161</v>
      </c>
      <c r="G1020" s="34" t="n">
        <f aca="false">G828*(1-Inputs!$B$14)-G860+G988-G956</f>
        <v>-628426.793138281</v>
      </c>
    </row>
    <row r="1021" customFormat="false" ht="15" hidden="true" customHeight="true" outlineLevel="0" collapsed="false">
      <c r="B1021" s="34" t="n">
        <f aca="false">B829*(1-Inputs!$B$14)-B861+B989-B957</f>
        <v>565558.906167112</v>
      </c>
      <c r="C1021" s="34" t="n">
        <f aca="false">C829*(1-Inputs!$B$14)-C861+C989-C957</f>
        <v>425368.002998574</v>
      </c>
      <c r="D1021" s="34" t="n">
        <f aca="false">D829*(1-Inputs!$B$14)-D861+D989-D957</f>
        <v>243675.136504485</v>
      </c>
      <c r="E1021" s="34" t="n">
        <f aca="false">E829*(1-Inputs!$B$14)-E861+E989-E957</f>
        <v>8623.98430641543</v>
      </c>
      <c r="F1021" s="34" t="n">
        <f aca="false">F829*(1-Inputs!$B$14)-F861+F989-F957</f>
        <v>-294919.457258627</v>
      </c>
      <c r="G1021" s="34" t="n">
        <f aca="false">G829*(1-Inputs!$B$14)-G861+G989-G957</f>
        <v>-686240.158663638</v>
      </c>
    </row>
    <row r="1022" customFormat="false" ht="15" hidden="true" customHeight="true" outlineLevel="0" collapsed="false"/>
    <row r="1023" customFormat="false" ht="15" hidden="true" customHeight="true" outlineLevel="0" collapsed="false">
      <c r="A1023" s="33" t="s">
        <v>98</v>
      </c>
      <c r="B1023" s="33" t="str">
        <f aca="false">IF(B991&gt;=0,0,"")</f>
        <v/>
      </c>
      <c r="C1023" s="33" t="str">
        <f aca="false">IF(C991&gt;=0,0,"")</f>
        <v/>
      </c>
      <c r="D1023" s="33" t="str">
        <f aca="false">IF(D991&gt;=0,0,"")</f>
        <v/>
      </c>
      <c r="E1023" s="33" t="str">
        <f aca="false">IF(E991&gt;=0,0,"")</f>
        <v/>
      </c>
      <c r="F1023" s="33" t="str">
        <f aca="false">IF(F991&gt;=0,0,"")</f>
        <v/>
      </c>
      <c r="G1023" s="33" t="str">
        <f aca="false">IF(G991&gt;=0,0,"")</f>
        <v/>
      </c>
    </row>
    <row r="1024" customFormat="false" ht="15" hidden="true" customHeight="true" outlineLevel="0" collapsed="false">
      <c r="B1024" s="33" t="str">
        <f aca="false">IF(B1023&lt;&gt;"",B1023,IF(B992&gt;=0,1,""))</f>
        <v/>
      </c>
      <c r="C1024" s="33" t="str">
        <f aca="false">IF(C1023&lt;&gt;"",C1023,IF(C992&gt;=0,1,""))</f>
        <v/>
      </c>
      <c r="D1024" s="33" t="str">
        <f aca="false">IF(D1023&lt;&gt;"",D1023,IF(D992&gt;=0,1,""))</f>
        <v/>
      </c>
      <c r="E1024" s="33" t="str">
        <f aca="false">IF(E1023&lt;&gt;"",E1023,IF(E992&gt;=0,1,""))</f>
        <v/>
      </c>
      <c r="F1024" s="33" t="str">
        <f aca="false">IF(F1023&lt;&gt;"",F1023,IF(F992&gt;=0,1,""))</f>
        <v/>
      </c>
      <c r="G1024" s="33" t="str">
        <f aca="false">IF(G1023&lt;&gt;"",G1023,IF(G992&gt;=0,1,""))</f>
        <v/>
      </c>
    </row>
    <row r="1025" customFormat="false" ht="15" hidden="true" customHeight="true" outlineLevel="0" collapsed="false">
      <c r="B1025" s="33" t="str">
        <f aca="false">IF(B1024&lt;&gt;"",B1024,IF(B993&gt;=0,2,""))</f>
        <v/>
      </c>
      <c r="C1025" s="33" t="str">
        <f aca="false">IF(C1024&lt;&gt;"",C1024,IF(C993&gt;=0,2,""))</f>
        <v/>
      </c>
      <c r="D1025" s="33" t="str">
        <f aca="false">IF(D1024&lt;&gt;"",D1024,IF(D993&gt;=0,2,""))</f>
        <v/>
      </c>
      <c r="E1025" s="33" t="str">
        <f aca="false">IF(E1024&lt;&gt;"",E1024,IF(E993&gt;=0,2,""))</f>
        <v/>
      </c>
      <c r="F1025" s="33" t="str">
        <f aca="false">IF(F1024&lt;&gt;"",F1024,IF(F993&gt;=0,2,""))</f>
        <v/>
      </c>
      <c r="G1025" s="33" t="str">
        <f aca="false">IF(G1024&lt;&gt;"",G1024,IF(G993&gt;=0,2,""))</f>
        <v/>
      </c>
    </row>
    <row r="1026" customFormat="false" ht="15" hidden="true" customHeight="true" outlineLevel="0" collapsed="false">
      <c r="B1026" s="33" t="str">
        <f aca="false">IF(B1025&lt;&gt;"",B1025,IF(B994&gt;=0,3,""))</f>
        <v/>
      </c>
      <c r="C1026" s="33" t="str">
        <f aca="false">IF(C1025&lt;&gt;"",C1025,IF(C994&gt;=0,3,""))</f>
        <v/>
      </c>
      <c r="D1026" s="33" t="str">
        <f aca="false">IF(D1025&lt;&gt;"",D1025,IF(D994&gt;=0,3,""))</f>
        <v/>
      </c>
      <c r="E1026" s="33" t="str">
        <f aca="false">IF(E1025&lt;&gt;"",E1025,IF(E994&gt;=0,3,""))</f>
        <v/>
      </c>
      <c r="F1026" s="33" t="str">
        <f aca="false">IF(F1025&lt;&gt;"",F1025,IF(F994&gt;=0,3,""))</f>
        <v/>
      </c>
      <c r="G1026" s="33" t="str">
        <f aca="false">IF(G1025&lt;&gt;"",G1025,IF(G994&gt;=0,3,""))</f>
        <v/>
      </c>
    </row>
    <row r="1027" customFormat="false" ht="15" hidden="true" customHeight="true" outlineLevel="0" collapsed="false">
      <c r="B1027" s="33" t="str">
        <f aca="false">IF(B1026&lt;&gt;"",B1026,IF(B995&gt;=0,4,""))</f>
        <v/>
      </c>
      <c r="C1027" s="33" t="str">
        <f aca="false">IF(C1026&lt;&gt;"",C1026,IF(C995&gt;=0,4,""))</f>
        <v/>
      </c>
      <c r="D1027" s="33" t="str">
        <f aca="false">IF(D1026&lt;&gt;"",D1026,IF(D995&gt;=0,4,""))</f>
        <v/>
      </c>
      <c r="E1027" s="33" t="str">
        <f aca="false">IF(E1026&lt;&gt;"",E1026,IF(E995&gt;=0,4,""))</f>
        <v/>
      </c>
      <c r="F1027" s="33" t="str">
        <f aca="false">IF(F1026&lt;&gt;"",F1026,IF(F995&gt;=0,4,""))</f>
        <v/>
      </c>
      <c r="G1027" s="33" t="str">
        <f aca="false">IF(G1026&lt;&gt;"",G1026,IF(G995&gt;=0,4,""))</f>
        <v/>
      </c>
    </row>
    <row r="1028" customFormat="false" ht="15" hidden="true" customHeight="true" outlineLevel="0" collapsed="false">
      <c r="B1028" s="33" t="str">
        <f aca="false">IF(B1027&lt;&gt;"",B1027,IF(B996&gt;=0,5,""))</f>
        <v/>
      </c>
      <c r="C1028" s="33" t="str">
        <f aca="false">IF(C1027&lt;&gt;"",C1027,IF(C996&gt;=0,5,""))</f>
        <v/>
      </c>
      <c r="D1028" s="33" t="str">
        <f aca="false">IF(D1027&lt;&gt;"",D1027,IF(D996&gt;=0,5,""))</f>
        <v/>
      </c>
      <c r="E1028" s="33" t="str">
        <f aca="false">IF(E1027&lt;&gt;"",E1027,IF(E996&gt;=0,5,""))</f>
        <v/>
      </c>
      <c r="F1028" s="33" t="str">
        <f aca="false">IF(F1027&lt;&gt;"",F1027,IF(F996&gt;=0,5,""))</f>
        <v/>
      </c>
      <c r="G1028" s="33" t="str">
        <f aca="false">IF(G1027&lt;&gt;"",G1027,IF(G996&gt;=0,5,""))</f>
        <v/>
      </c>
    </row>
    <row r="1029" customFormat="false" ht="15" hidden="true" customHeight="true" outlineLevel="0" collapsed="false">
      <c r="B1029" s="33" t="str">
        <f aca="false">IF(B1028&lt;&gt;"",B1028,IF(B997&gt;=0,6,""))</f>
        <v/>
      </c>
      <c r="C1029" s="33" t="str">
        <f aca="false">IF(C1028&lt;&gt;"",C1028,IF(C997&gt;=0,6,""))</f>
        <v/>
      </c>
      <c r="D1029" s="33" t="str">
        <f aca="false">IF(D1028&lt;&gt;"",D1028,IF(D997&gt;=0,6,""))</f>
        <v/>
      </c>
      <c r="E1029" s="33" t="str">
        <f aca="false">IF(E1028&lt;&gt;"",E1028,IF(E997&gt;=0,6,""))</f>
        <v/>
      </c>
      <c r="F1029" s="33" t="str">
        <f aca="false">IF(F1028&lt;&gt;"",F1028,IF(F997&gt;=0,6,""))</f>
        <v/>
      </c>
      <c r="G1029" s="33" t="str">
        <f aca="false">IF(G1028&lt;&gt;"",G1028,IF(G997&gt;=0,6,""))</f>
        <v/>
      </c>
    </row>
    <row r="1030" customFormat="false" ht="15" hidden="true" customHeight="true" outlineLevel="0" collapsed="false">
      <c r="B1030" s="33" t="str">
        <f aca="false">IF(B1029&lt;&gt;"",B1029,IF(B998&gt;=0,7,""))</f>
        <v/>
      </c>
      <c r="C1030" s="33" t="str">
        <f aca="false">IF(C1029&lt;&gt;"",C1029,IF(C998&gt;=0,7,""))</f>
        <v/>
      </c>
      <c r="D1030" s="33" t="str">
        <f aca="false">IF(D1029&lt;&gt;"",D1029,IF(D998&gt;=0,7,""))</f>
        <v/>
      </c>
      <c r="E1030" s="33" t="str">
        <f aca="false">IF(E1029&lt;&gt;"",E1029,IF(E998&gt;=0,7,""))</f>
        <v/>
      </c>
      <c r="F1030" s="33" t="str">
        <f aca="false">IF(F1029&lt;&gt;"",F1029,IF(F998&gt;=0,7,""))</f>
        <v/>
      </c>
      <c r="G1030" s="33" t="str">
        <f aca="false">IF(G1029&lt;&gt;"",G1029,IF(G998&gt;=0,7,""))</f>
        <v/>
      </c>
    </row>
    <row r="1031" customFormat="false" ht="15" hidden="true" customHeight="true" outlineLevel="0" collapsed="false">
      <c r="B1031" s="33" t="str">
        <f aca="false">IF(B1030&lt;&gt;"",B1030,IF(B999&gt;=0,8,""))</f>
        <v/>
      </c>
      <c r="C1031" s="33" t="str">
        <f aca="false">IF(C1030&lt;&gt;"",C1030,IF(C999&gt;=0,8,""))</f>
        <v/>
      </c>
      <c r="D1031" s="33" t="str">
        <f aca="false">IF(D1030&lt;&gt;"",D1030,IF(D999&gt;=0,8,""))</f>
        <v/>
      </c>
      <c r="E1031" s="33" t="str">
        <f aca="false">IF(E1030&lt;&gt;"",E1030,IF(E999&gt;=0,8,""))</f>
        <v/>
      </c>
      <c r="F1031" s="33" t="str">
        <f aca="false">IF(F1030&lt;&gt;"",F1030,IF(F999&gt;=0,8,""))</f>
        <v/>
      </c>
      <c r="G1031" s="33" t="str">
        <f aca="false">IF(G1030&lt;&gt;"",G1030,IF(G999&gt;=0,8,""))</f>
        <v/>
      </c>
    </row>
    <row r="1032" customFormat="false" ht="15" hidden="true" customHeight="true" outlineLevel="0" collapsed="false">
      <c r="B1032" s="33" t="str">
        <f aca="false">IF(B1031&lt;&gt;"",B1031,IF(B1000&gt;=0,9,""))</f>
        <v/>
      </c>
      <c r="C1032" s="33" t="str">
        <f aca="false">IF(C1031&lt;&gt;"",C1031,IF(C1000&gt;=0,9,""))</f>
        <v/>
      </c>
      <c r="D1032" s="33" t="str">
        <f aca="false">IF(D1031&lt;&gt;"",D1031,IF(D1000&gt;=0,9,""))</f>
        <v/>
      </c>
      <c r="E1032" s="33" t="str">
        <f aca="false">IF(E1031&lt;&gt;"",E1031,IF(E1000&gt;=0,9,""))</f>
        <v/>
      </c>
      <c r="F1032" s="33" t="str">
        <f aca="false">IF(F1031&lt;&gt;"",F1031,IF(F1000&gt;=0,9,""))</f>
        <v/>
      </c>
      <c r="G1032" s="33" t="str">
        <f aca="false">IF(G1031&lt;&gt;"",G1031,IF(G1000&gt;=0,9,""))</f>
        <v/>
      </c>
    </row>
    <row r="1033" customFormat="false" ht="15" hidden="true" customHeight="true" outlineLevel="0" collapsed="false">
      <c r="B1033" s="33" t="n">
        <f aca="false">IF(B1032&lt;&gt;"",B1032,IF(B1001&gt;=0,10,""))</f>
        <v>10</v>
      </c>
      <c r="C1033" s="33" t="str">
        <f aca="false">IF(C1032&lt;&gt;"",C1032,IF(C1001&gt;=0,10,""))</f>
        <v/>
      </c>
      <c r="D1033" s="33" t="str">
        <f aca="false">IF(D1032&lt;&gt;"",D1032,IF(D1001&gt;=0,10,""))</f>
        <v/>
      </c>
      <c r="E1033" s="33" t="str">
        <f aca="false">IF(E1032&lt;&gt;"",E1032,IF(E1001&gt;=0,10,""))</f>
        <v/>
      </c>
      <c r="F1033" s="33" t="str">
        <f aca="false">IF(F1032&lt;&gt;"",F1032,IF(F1001&gt;=0,10,""))</f>
        <v/>
      </c>
      <c r="G1033" s="33" t="str">
        <f aca="false">IF(G1032&lt;&gt;"",G1032,IF(G1001&gt;=0,10,""))</f>
        <v/>
      </c>
    </row>
    <row r="1034" customFormat="false" ht="15" hidden="true" customHeight="true" outlineLevel="0" collapsed="false">
      <c r="B1034" s="33" t="n">
        <f aca="false">IF(B1033&lt;&gt;"",B1033,IF(B1002&gt;=0,11,""))</f>
        <v>10</v>
      </c>
      <c r="C1034" s="33" t="str">
        <f aca="false">IF(C1033&lt;&gt;"",C1033,IF(C1002&gt;=0,11,""))</f>
        <v/>
      </c>
      <c r="D1034" s="33" t="str">
        <f aca="false">IF(D1033&lt;&gt;"",D1033,IF(D1002&gt;=0,11,""))</f>
        <v/>
      </c>
      <c r="E1034" s="33" t="str">
        <f aca="false">IF(E1033&lt;&gt;"",E1033,IF(E1002&gt;=0,11,""))</f>
        <v/>
      </c>
      <c r="F1034" s="33" t="str">
        <f aca="false">IF(F1033&lt;&gt;"",F1033,IF(F1002&gt;=0,11,""))</f>
        <v/>
      </c>
      <c r="G1034" s="33" t="str">
        <f aca="false">IF(G1033&lt;&gt;"",G1033,IF(G1002&gt;=0,11,""))</f>
        <v/>
      </c>
    </row>
    <row r="1035" customFormat="false" ht="15" hidden="true" customHeight="true" outlineLevel="0" collapsed="false">
      <c r="B1035" s="33" t="n">
        <f aca="false">IF(B1034&lt;&gt;"",B1034,IF(B1003&gt;=0,12,""))</f>
        <v>10</v>
      </c>
      <c r="C1035" s="33" t="n">
        <f aca="false">IF(C1034&lt;&gt;"",C1034,IF(C1003&gt;=0,12,""))</f>
        <v>12</v>
      </c>
      <c r="D1035" s="33" t="str">
        <f aca="false">IF(D1034&lt;&gt;"",D1034,IF(D1003&gt;=0,12,""))</f>
        <v/>
      </c>
      <c r="E1035" s="33" t="str">
        <f aca="false">IF(E1034&lt;&gt;"",E1034,IF(E1003&gt;=0,12,""))</f>
        <v/>
      </c>
      <c r="F1035" s="33" t="str">
        <f aca="false">IF(F1034&lt;&gt;"",F1034,IF(F1003&gt;=0,12,""))</f>
        <v/>
      </c>
      <c r="G1035" s="33" t="str">
        <f aca="false">IF(G1034&lt;&gt;"",G1034,IF(G1003&gt;=0,12,""))</f>
        <v/>
      </c>
    </row>
    <row r="1036" customFormat="false" ht="15" hidden="true" customHeight="true" outlineLevel="0" collapsed="false">
      <c r="B1036" s="33" t="n">
        <f aca="false">IF(B1035&lt;&gt;"",B1035,IF(B1004&gt;=0,13,""))</f>
        <v>10</v>
      </c>
      <c r="C1036" s="33" t="n">
        <f aca="false">IF(C1035&lt;&gt;"",C1035,IF(C1004&gt;=0,13,""))</f>
        <v>12</v>
      </c>
      <c r="D1036" s="33" t="str">
        <f aca="false">IF(D1035&lt;&gt;"",D1035,IF(D1004&gt;=0,13,""))</f>
        <v/>
      </c>
      <c r="E1036" s="33" t="str">
        <f aca="false">IF(E1035&lt;&gt;"",E1035,IF(E1004&gt;=0,13,""))</f>
        <v/>
      </c>
      <c r="F1036" s="33" t="str">
        <f aca="false">IF(F1035&lt;&gt;"",F1035,IF(F1004&gt;=0,13,""))</f>
        <v/>
      </c>
      <c r="G1036" s="33" t="str">
        <f aca="false">IF(G1035&lt;&gt;"",G1035,IF(G1004&gt;=0,13,""))</f>
        <v/>
      </c>
    </row>
    <row r="1037" customFormat="false" ht="15" hidden="true" customHeight="true" outlineLevel="0" collapsed="false">
      <c r="B1037" s="33" t="n">
        <f aca="false">IF(B1036&lt;&gt;"",B1036,IF(B1005&gt;=0,14,""))</f>
        <v>10</v>
      </c>
      <c r="C1037" s="33" t="n">
        <f aca="false">IF(C1036&lt;&gt;"",C1036,IF(C1005&gt;=0,14,""))</f>
        <v>12</v>
      </c>
      <c r="D1037" s="33" t="str">
        <f aca="false">IF(D1036&lt;&gt;"",D1036,IF(D1005&gt;=0,14,""))</f>
        <v/>
      </c>
      <c r="E1037" s="33" t="str">
        <f aca="false">IF(E1036&lt;&gt;"",E1036,IF(E1005&gt;=0,14,""))</f>
        <v/>
      </c>
      <c r="F1037" s="33" t="str">
        <f aca="false">IF(F1036&lt;&gt;"",F1036,IF(F1005&gt;=0,14,""))</f>
        <v/>
      </c>
      <c r="G1037" s="33" t="str">
        <f aca="false">IF(G1036&lt;&gt;"",G1036,IF(G1005&gt;=0,14,""))</f>
        <v/>
      </c>
    </row>
    <row r="1038" customFormat="false" ht="15" hidden="true" customHeight="true" outlineLevel="0" collapsed="false">
      <c r="B1038" s="33" t="n">
        <f aca="false">IF(B1037&lt;&gt;"",B1037,IF(B1006&gt;=0,15,""))</f>
        <v>10</v>
      </c>
      <c r="C1038" s="33" t="n">
        <f aca="false">IF(C1037&lt;&gt;"",C1037,IF(C1006&gt;=0,15,""))</f>
        <v>12</v>
      </c>
      <c r="D1038" s="33" t="str">
        <f aca="false">IF(D1037&lt;&gt;"",D1037,IF(D1006&gt;=0,15,""))</f>
        <v/>
      </c>
      <c r="E1038" s="33" t="str">
        <f aca="false">IF(E1037&lt;&gt;"",E1037,IF(E1006&gt;=0,15,""))</f>
        <v/>
      </c>
      <c r="F1038" s="33" t="str">
        <f aca="false">IF(F1037&lt;&gt;"",F1037,IF(F1006&gt;=0,15,""))</f>
        <v/>
      </c>
      <c r="G1038" s="33" t="str">
        <f aca="false">IF(G1037&lt;&gt;"",G1037,IF(G1006&gt;=0,15,""))</f>
        <v/>
      </c>
    </row>
    <row r="1039" customFormat="false" ht="15" hidden="true" customHeight="true" outlineLevel="0" collapsed="false">
      <c r="B1039" s="33" t="n">
        <f aca="false">IF(B1038&lt;&gt;"",B1038,IF(B1007&gt;=0,16,""))</f>
        <v>10</v>
      </c>
      <c r="C1039" s="33" t="n">
        <f aca="false">IF(C1038&lt;&gt;"",C1038,IF(C1007&gt;=0,16,""))</f>
        <v>12</v>
      </c>
      <c r="D1039" s="33" t="str">
        <f aca="false">IF(D1038&lt;&gt;"",D1038,IF(D1007&gt;=0,16,""))</f>
        <v/>
      </c>
      <c r="E1039" s="33" t="str">
        <f aca="false">IF(E1038&lt;&gt;"",E1038,IF(E1007&gt;=0,16,""))</f>
        <v/>
      </c>
      <c r="F1039" s="33" t="str">
        <f aca="false">IF(F1038&lt;&gt;"",F1038,IF(F1007&gt;=0,16,""))</f>
        <v/>
      </c>
      <c r="G1039" s="33" t="str">
        <f aca="false">IF(G1038&lt;&gt;"",G1038,IF(G1007&gt;=0,16,""))</f>
        <v/>
      </c>
    </row>
    <row r="1040" customFormat="false" ht="15" hidden="true" customHeight="true" outlineLevel="0" collapsed="false">
      <c r="B1040" s="33" t="n">
        <f aca="false">IF(B1039&lt;&gt;"",B1039,IF(B1008&gt;=0,17,""))</f>
        <v>10</v>
      </c>
      <c r="C1040" s="33" t="n">
        <f aca="false">IF(C1039&lt;&gt;"",C1039,IF(C1008&gt;=0,17,""))</f>
        <v>12</v>
      </c>
      <c r="D1040" s="33" t="n">
        <f aca="false">IF(D1039&lt;&gt;"",D1039,IF(D1008&gt;=0,17,""))</f>
        <v>17</v>
      </c>
      <c r="E1040" s="33" t="str">
        <f aca="false">IF(E1039&lt;&gt;"",E1039,IF(E1008&gt;=0,17,""))</f>
        <v/>
      </c>
      <c r="F1040" s="33" t="str">
        <f aca="false">IF(F1039&lt;&gt;"",F1039,IF(F1008&gt;=0,17,""))</f>
        <v/>
      </c>
      <c r="G1040" s="33" t="str">
        <f aca="false">IF(G1039&lt;&gt;"",G1039,IF(G1008&gt;=0,17,""))</f>
        <v/>
      </c>
    </row>
    <row r="1041" customFormat="false" ht="15" hidden="true" customHeight="true" outlineLevel="0" collapsed="false">
      <c r="B1041" s="33" t="n">
        <f aca="false">IF(B1040&lt;&gt;"",B1040,IF(B1009&gt;=0,18,""))</f>
        <v>10</v>
      </c>
      <c r="C1041" s="33" t="n">
        <f aca="false">IF(C1040&lt;&gt;"",C1040,IF(C1009&gt;=0,18,""))</f>
        <v>12</v>
      </c>
      <c r="D1041" s="33" t="n">
        <f aca="false">IF(D1040&lt;&gt;"",D1040,IF(D1009&gt;=0,18,""))</f>
        <v>17</v>
      </c>
      <c r="E1041" s="33" t="str">
        <f aca="false">IF(E1040&lt;&gt;"",E1040,IF(E1009&gt;=0,18,""))</f>
        <v/>
      </c>
      <c r="F1041" s="33" t="str">
        <f aca="false">IF(F1040&lt;&gt;"",F1040,IF(F1009&gt;=0,18,""))</f>
        <v/>
      </c>
      <c r="G1041" s="33" t="str">
        <f aca="false">IF(G1040&lt;&gt;"",G1040,IF(G1009&gt;=0,18,""))</f>
        <v/>
      </c>
    </row>
    <row r="1042" customFormat="false" ht="15" hidden="true" customHeight="true" outlineLevel="0" collapsed="false">
      <c r="B1042" s="33" t="n">
        <f aca="false">IF(B1041&lt;&gt;"",B1041,IF(B1010&gt;=0,19,""))</f>
        <v>10</v>
      </c>
      <c r="C1042" s="33" t="n">
        <f aca="false">IF(C1041&lt;&gt;"",C1041,IF(C1010&gt;=0,19,""))</f>
        <v>12</v>
      </c>
      <c r="D1042" s="33" t="n">
        <f aca="false">IF(D1041&lt;&gt;"",D1041,IF(D1010&gt;=0,19,""))</f>
        <v>17</v>
      </c>
      <c r="E1042" s="33" t="str">
        <f aca="false">IF(E1041&lt;&gt;"",E1041,IF(E1010&gt;=0,19,""))</f>
        <v/>
      </c>
      <c r="F1042" s="33" t="str">
        <f aca="false">IF(F1041&lt;&gt;"",F1041,IF(F1010&gt;=0,19,""))</f>
        <v/>
      </c>
      <c r="G1042" s="33" t="str">
        <f aca="false">IF(G1041&lt;&gt;"",G1041,IF(G1010&gt;=0,19,""))</f>
        <v/>
      </c>
    </row>
    <row r="1043" customFormat="false" ht="15" hidden="true" customHeight="true" outlineLevel="0" collapsed="false">
      <c r="B1043" s="33" t="n">
        <f aca="false">IF(B1042&lt;&gt;"",B1042,IF(B1011&gt;=0,20,""))</f>
        <v>10</v>
      </c>
      <c r="C1043" s="33" t="n">
        <f aca="false">IF(C1042&lt;&gt;"",C1042,IF(C1011&gt;=0,20,""))</f>
        <v>12</v>
      </c>
      <c r="D1043" s="33" t="n">
        <f aca="false">IF(D1042&lt;&gt;"",D1042,IF(D1011&gt;=0,20,""))</f>
        <v>17</v>
      </c>
      <c r="E1043" s="33" t="str">
        <f aca="false">IF(E1042&lt;&gt;"",E1042,IF(E1011&gt;=0,20,""))</f>
        <v/>
      </c>
      <c r="F1043" s="33" t="str">
        <f aca="false">IF(F1042&lt;&gt;"",F1042,IF(F1011&gt;=0,20,""))</f>
        <v/>
      </c>
      <c r="G1043" s="33" t="str">
        <f aca="false">IF(G1042&lt;&gt;"",G1042,IF(G1011&gt;=0,20,""))</f>
        <v/>
      </c>
    </row>
    <row r="1044" customFormat="false" ht="15" hidden="true" customHeight="true" outlineLevel="0" collapsed="false">
      <c r="B1044" s="33" t="n">
        <f aca="false">IF(B1043&lt;&gt;"",B1043,IF(B1012&gt;=0,21,""))</f>
        <v>10</v>
      </c>
      <c r="C1044" s="33" t="n">
        <f aca="false">IF(C1043&lt;&gt;"",C1043,IF(C1012&gt;=0,21,""))</f>
        <v>12</v>
      </c>
      <c r="D1044" s="33" t="n">
        <f aca="false">IF(D1043&lt;&gt;"",D1043,IF(D1012&gt;=0,21,""))</f>
        <v>17</v>
      </c>
      <c r="E1044" s="33" t="str">
        <f aca="false">IF(E1043&lt;&gt;"",E1043,IF(E1012&gt;=0,21,""))</f>
        <v/>
      </c>
      <c r="F1044" s="33" t="str">
        <f aca="false">IF(F1043&lt;&gt;"",F1043,IF(F1012&gt;=0,21,""))</f>
        <v/>
      </c>
      <c r="G1044" s="33" t="str">
        <f aca="false">IF(G1043&lt;&gt;"",G1043,IF(G1012&gt;=0,21,""))</f>
        <v/>
      </c>
    </row>
    <row r="1045" customFormat="false" ht="15" hidden="true" customHeight="true" outlineLevel="0" collapsed="false">
      <c r="B1045" s="33" t="n">
        <f aca="false">IF(B1044&lt;&gt;"",B1044,IF(B1013&gt;=0,22,""))</f>
        <v>10</v>
      </c>
      <c r="C1045" s="33" t="n">
        <f aca="false">IF(C1044&lt;&gt;"",C1044,IF(C1013&gt;=0,22,""))</f>
        <v>12</v>
      </c>
      <c r="D1045" s="33" t="n">
        <f aca="false">IF(D1044&lt;&gt;"",D1044,IF(D1013&gt;=0,22,""))</f>
        <v>17</v>
      </c>
      <c r="E1045" s="33" t="str">
        <f aca="false">IF(E1044&lt;&gt;"",E1044,IF(E1013&gt;=0,22,""))</f>
        <v/>
      </c>
      <c r="F1045" s="33" t="str">
        <f aca="false">IF(F1044&lt;&gt;"",F1044,IF(F1013&gt;=0,22,""))</f>
        <v/>
      </c>
      <c r="G1045" s="33" t="str">
        <f aca="false">IF(G1044&lt;&gt;"",G1044,IF(G1013&gt;=0,22,""))</f>
        <v/>
      </c>
    </row>
    <row r="1046" customFormat="false" ht="15" hidden="true" customHeight="true" outlineLevel="0" collapsed="false">
      <c r="B1046" s="33" t="n">
        <f aca="false">IF(B1045&lt;&gt;"",B1045,IF(B1014&gt;=0,23,""))</f>
        <v>10</v>
      </c>
      <c r="C1046" s="33" t="n">
        <f aca="false">IF(C1045&lt;&gt;"",C1045,IF(C1014&gt;=0,23,""))</f>
        <v>12</v>
      </c>
      <c r="D1046" s="33" t="n">
        <f aca="false">IF(D1045&lt;&gt;"",D1045,IF(D1014&gt;=0,23,""))</f>
        <v>17</v>
      </c>
      <c r="E1046" s="33" t="str">
        <f aca="false">IF(E1045&lt;&gt;"",E1045,IF(E1014&gt;=0,23,""))</f>
        <v/>
      </c>
      <c r="F1046" s="33" t="str">
        <f aca="false">IF(F1045&lt;&gt;"",F1045,IF(F1014&gt;=0,23,""))</f>
        <v/>
      </c>
      <c r="G1046" s="33" t="str">
        <f aca="false">IF(G1045&lt;&gt;"",G1045,IF(G1014&gt;=0,23,""))</f>
        <v/>
      </c>
    </row>
    <row r="1047" customFormat="false" ht="15" hidden="true" customHeight="true" outlineLevel="0" collapsed="false">
      <c r="B1047" s="33" t="n">
        <f aca="false">IF(B1046&lt;&gt;"",B1046,IF(B1015&gt;=0,24,""))</f>
        <v>10</v>
      </c>
      <c r="C1047" s="33" t="n">
        <f aca="false">IF(C1046&lt;&gt;"",C1046,IF(C1015&gt;=0,24,""))</f>
        <v>12</v>
      </c>
      <c r="D1047" s="33" t="n">
        <f aca="false">IF(D1046&lt;&gt;"",D1046,IF(D1015&gt;=0,24,""))</f>
        <v>17</v>
      </c>
      <c r="E1047" s="33" t="str">
        <f aca="false">IF(E1046&lt;&gt;"",E1046,IF(E1015&gt;=0,24,""))</f>
        <v/>
      </c>
      <c r="F1047" s="33" t="str">
        <f aca="false">IF(F1046&lt;&gt;"",F1046,IF(F1015&gt;=0,24,""))</f>
        <v/>
      </c>
      <c r="G1047" s="33" t="str">
        <f aca="false">IF(G1046&lt;&gt;"",G1046,IF(G1015&gt;=0,24,""))</f>
        <v/>
      </c>
    </row>
    <row r="1048" customFormat="false" ht="15" hidden="true" customHeight="true" outlineLevel="0" collapsed="false">
      <c r="B1048" s="33" t="n">
        <f aca="false">IF(B1047&lt;&gt;"",B1047,IF(B1016&gt;=0,25,""))</f>
        <v>10</v>
      </c>
      <c r="C1048" s="33" t="n">
        <f aca="false">IF(C1047&lt;&gt;"",C1047,IF(C1016&gt;=0,25,""))</f>
        <v>12</v>
      </c>
      <c r="D1048" s="33" t="n">
        <f aca="false">IF(D1047&lt;&gt;"",D1047,IF(D1016&gt;=0,25,""))</f>
        <v>17</v>
      </c>
      <c r="E1048" s="33" t="str">
        <f aca="false">IF(E1047&lt;&gt;"",E1047,IF(E1016&gt;=0,25,""))</f>
        <v/>
      </c>
      <c r="F1048" s="33" t="str">
        <f aca="false">IF(F1047&lt;&gt;"",F1047,IF(F1016&gt;=0,25,""))</f>
        <v/>
      </c>
      <c r="G1048" s="33" t="str">
        <f aca="false">IF(G1047&lt;&gt;"",G1047,IF(G1016&gt;=0,25,""))</f>
        <v/>
      </c>
    </row>
    <row r="1049" customFormat="false" ht="15" hidden="true" customHeight="true" outlineLevel="0" collapsed="false">
      <c r="B1049" s="33" t="n">
        <f aca="false">IF(B1048&lt;&gt;"",B1048,IF(B1017&gt;=0,26,""))</f>
        <v>10</v>
      </c>
      <c r="C1049" s="33" t="n">
        <f aca="false">IF(C1048&lt;&gt;"",C1048,IF(C1017&gt;=0,26,""))</f>
        <v>12</v>
      </c>
      <c r="D1049" s="33" t="n">
        <f aca="false">IF(D1048&lt;&gt;"",D1048,IF(D1017&gt;=0,26,""))</f>
        <v>17</v>
      </c>
      <c r="E1049" s="33" t="str">
        <f aca="false">IF(E1048&lt;&gt;"",E1048,IF(E1017&gt;=0,26,""))</f>
        <v/>
      </c>
      <c r="F1049" s="33" t="str">
        <f aca="false">IF(F1048&lt;&gt;"",F1048,IF(F1017&gt;=0,26,""))</f>
        <v/>
      </c>
      <c r="G1049" s="33" t="str">
        <f aca="false">IF(G1048&lt;&gt;"",G1048,IF(G1017&gt;=0,26,""))</f>
        <v/>
      </c>
    </row>
    <row r="1050" customFormat="false" ht="15" hidden="true" customHeight="true" outlineLevel="0" collapsed="false">
      <c r="B1050" s="33" t="n">
        <f aca="false">IF(B1049&lt;&gt;"",B1049,IF(B1018&gt;=0,27,""))</f>
        <v>10</v>
      </c>
      <c r="C1050" s="33" t="n">
        <f aca="false">IF(C1049&lt;&gt;"",C1049,IF(C1018&gt;=0,27,""))</f>
        <v>12</v>
      </c>
      <c r="D1050" s="33" t="n">
        <f aca="false">IF(D1049&lt;&gt;"",D1049,IF(D1018&gt;=0,27,""))</f>
        <v>17</v>
      </c>
      <c r="E1050" s="33" t="str">
        <f aca="false">IF(E1049&lt;&gt;"",E1049,IF(E1018&gt;=0,27,""))</f>
        <v/>
      </c>
      <c r="F1050" s="33" t="str">
        <f aca="false">IF(F1049&lt;&gt;"",F1049,IF(F1018&gt;=0,27,""))</f>
        <v/>
      </c>
      <c r="G1050" s="33" t="str">
        <f aca="false">IF(G1049&lt;&gt;"",G1049,IF(G1018&gt;=0,27,""))</f>
        <v/>
      </c>
    </row>
    <row r="1051" customFormat="false" ht="15" hidden="true" customHeight="true" outlineLevel="0" collapsed="false">
      <c r="B1051" s="33" t="n">
        <f aca="false">IF(B1050&lt;&gt;"",B1050,IF(B1019&gt;=0,28,""))</f>
        <v>10</v>
      </c>
      <c r="C1051" s="33" t="n">
        <f aca="false">IF(C1050&lt;&gt;"",C1050,IF(C1019&gt;=0,28,""))</f>
        <v>12</v>
      </c>
      <c r="D1051" s="33" t="n">
        <f aca="false">IF(D1050&lt;&gt;"",D1050,IF(D1019&gt;=0,28,""))</f>
        <v>17</v>
      </c>
      <c r="E1051" s="33" t="str">
        <f aca="false">IF(E1050&lt;&gt;"",E1050,IF(E1019&gt;=0,28,""))</f>
        <v/>
      </c>
      <c r="F1051" s="33" t="str">
        <f aca="false">IF(F1050&lt;&gt;"",F1050,IF(F1019&gt;=0,28,""))</f>
        <v/>
      </c>
      <c r="G1051" s="33" t="str">
        <f aca="false">IF(G1050&lt;&gt;"",G1050,IF(G1019&gt;=0,28,""))</f>
        <v/>
      </c>
    </row>
    <row r="1052" customFormat="false" ht="15" hidden="true" customHeight="true" outlineLevel="0" collapsed="false">
      <c r="B1052" s="33" t="n">
        <f aca="false">IF(B1051&lt;&gt;"",B1051,IF(B1020&gt;=0,29,""))</f>
        <v>10</v>
      </c>
      <c r="C1052" s="33" t="n">
        <f aca="false">IF(C1051&lt;&gt;"",C1051,IF(C1020&gt;=0,29,""))</f>
        <v>12</v>
      </c>
      <c r="D1052" s="33" t="n">
        <f aca="false">IF(D1051&lt;&gt;"",D1051,IF(D1020&gt;=0,29,""))</f>
        <v>17</v>
      </c>
      <c r="E1052" s="33" t="str">
        <f aca="false">IF(E1051&lt;&gt;"",E1051,IF(E1020&gt;=0,29,""))</f>
        <v/>
      </c>
      <c r="F1052" s="33" t="str">
        <f aca="false">IF(F1051&lt;&gt;"",F1051,IF(F1020&gt;=0,29,""))</f>
        <v/>
      </c>
      <c r="G1052" s="33" t="str">
        <f aca="false">IF(G1051&lt;&gt;"",G1051,IF(G1020&gt;=0,29,""))</f>
        <v/>
      </c>
    </row>
    <row r="1053" customFormat="false" ht="15" hidden="true" customHeight="true" outlineLevel="0" collapsed="false">
      <c r="B1053" s="33" t="n">
        <f aca="false">IF(B1052&lt;&gt;"",B1052,IF(B1021&gt;=0,30,""))</f>
        <v>10</v>
      </c>
      <c r="C1053" s="33" t="n">
        <f aca="false">IF(C1052&lt;&gt;"",C1052,IF(C1021&gt;=0,30,""))</f>
        <v>12</v>
      </c>
      <c r="D1053" s="33" t="n">
        <f aca="false">IF(D1052&lt;&gt;"",D1052,IF(D1021&gt;=0,30,""))</f>
        <v>17</v>
      </c>
      <c r="E1053" s="33" t="n">
        <f aca="false">IF(E1052&lt;&gt;"",E1052,IF(E1021&gt;=0,30,""))</f>
        <v>30</v>
      </c>
      <c r="F1053" s="33" t="str">
        <f aca="false">IF(F1052&lt;&gt;"",F1052,IF(F1021&gt;=0,30,""))</f>
        <v/>
      </c>
      <c r="G1053" s="33" t="str">
        <f aca="false">IF(G1052&lt;&gt;"",G1052,IF(G1021&gt;=0,30,""))</f>
        <v/>
      </c>
    </row>
    <row r="1054" customFormat="false" ht="15" hidden="true" customHeight="true" outlineLevel="0" collapsed="false"/>
    <row r="1056" customFormat="false" ht="15" hidden="false" customHeight="true" outlineLevel="0" collapsed="false">
      <c r="A1056" s="16" t="s">
        <v>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0" min="2" style="1" width="14"/>
  </cols>
  <sheetData>
    <row r="1" customFormat="false" ht="15" hidden="false" customHeight="true" outlineLevel="0" collapsed="false">
      <c r="A1" s="30" t="s">
        <v>103</v>
      </c>
    </row>
    <row r="2" customFormat="false" ht="15" hidden="false" customHeight="true" outlineLevel="0" collapsed="false">
      <c r="A2" s="22" t="s">
        <v>104</v>
      </c>
      <c r="B2" s="35" t="n">
        <f aca="false">Inputs!$B$4*(1-Inputs!$B$5)</f>
        <v>343280</v>
      </c>
      <c r="C2" s="22" t="s">
        <v>105</v>
      </c>
      <c r="D2" s="35" t="n">
        <f aca="false">-PMT(Inputs!$B$6/12,Inputs!$B$7*12,$B$2)*12</f>
        <v>28185.1670698949</v>
      </c>
      <c r="E2" s="22" t="s">
        <v>106</v>
      </c>
      <c r="F2" s="35" t="n">
        <f aca="false">Inputs!$B$4*Inputs!$B$5+Inputs!$B$4*Inputs!$B$8</f>
        <v>98693</v>
      </c>
    </row>
    <row r="3" customFormat="false" ht="45" hidden="false" customHeight="true" outlineLevel="0" collapsed="false">
      <c r="A3" s="36" t="s">
        <v>107</v>
      </c>
      <c r="B3" s="36" t="s">
        <v>91</v>
      </c>
      <c r="C3" s="36" t="s">
        <v>92</v>
      </c>
      <c r="D3" s="36" t="s">
        <v>108</v>
      </c>
      <c r="E3" s="36" t="s">
        <v>109</v>
      </c>
      <c r="F3" s="36" t="s">
        <v>110</v>
      </c>
      <c r="G3" s="36" t="s">
        <v>111</v>
      </c>
      <c r="H3" s="36" t="s">
        <v>112</v>
      </c>
      <c r="I3" s="36" t="s">
        <v>93</v>
      </c>
      <c r="J3" s="36" t="s">
        <v>113</v>
      </c>
      <c r="K3" s="36" t="s">
        <v>114</v>
      </c>
      <c r="L3" s="36" t="s">
        <v>94</v>
      </c>
      <c r="M3" s="36" t="s">
        <v>115</v>
      </c>
      <c r="N3" s="36" t="s">
        <v>116</v>
      </c>
      <c r="O3" s="36" t="s">
        <v>117</v>
      </c>
      <c r="P3" s="36" t="s">
        <v>118</v>
      </c>
      <c r="Q3" s="36" t="s">
        <v>119</v>
      </c>
      <c r="R3" s="36" t="s">
        <v>120</v>
      </c>
      <c r="S3" s="36" t="s">
        <v>97</v>
      </c>
      <c r="T3" s="36" t="s">
        <v>121</v>
      </c>
    </row>
    <row r="4" customFormat="false" ht="15" hidden="false" customHeight="true" outlineLevel="0" collapsed="false">
      <c r="A4" s="37" t="n">
        <v>0</v>
      </c>
      <c r="B4" s="38" t="n">
        <f aca="false">Inputs!$B$4</f>
        <v>429100</v>
      </c>
      <c r="C4" s="38" t="n">
        <f aca="false">$B$2</f>
        <v>343280</v>
      </c>
      <c r="D4" s="38"/>
      <c r="E4" s="38"/>
      <c r="F4" s="38"/>
      <c r="G4" s="38"/>
      <c r="H4" s="38"/>
      <c r="I4" s="38"/>
      <c r="J4" s="38"/>
      <c r="K4" s="38"/>
      <c r="L4" s="38"/>
      <c r="M4" s="38"/>
      <c r="N4" s="38" t="n">
        <f aca="false">$F$2</f>
        <v>98693</v>
      </c>
      <c r="O4" s="38" t="n">
        <v>0</v>
      </c>
      <c r="P4" s="38" t="n">
        <f aca="false">B4*(1-Inputs!$B$14)-C4</f>
        <v>60074</v>
      </c>
      <c r="Q4" s="38" t="n">
        <f aca="false">P4+O4</f>
        <v>60074</v>
      </c>
      <c r="R4" s="38" t="n">
        <f aca="false">N4</f>
        <v>98693</v>
      </c>
      <c r="S4" s="38" t="n">
        <f aca="false">Q4-R4</f>
        <v>-38619</v>
      </c>
      <c r="T4" s="37" t="str">
        <f aca="false">IF(S4&gt;=0,0,"")</f>
        <v/>
      </c>
    </row>
    <row r="5" customFormat="false" ht="15" hidden="false" customHeight="true" outlineLevel="0" collapsed="false">
      <c r="A5" s="37" t="n">
        <v>1</v>
      </c>
      <c r="B5" s="38" t="n">
        <f aca="false">B4*(1+Inputs!$B$13)</f>
        <v>441973</v>
      </c>
      <c r="C5" s="38" t="n">
        <f aca="false">IF(A5&gt;=Inputs!$B$7,0,ROUND(-FV(Inputs!$B$6/12,A5*12,-$D$2/12,$B$2),2))</f>
        <v>339976.85</v>
      </c>
      <c r="D5" s="38" t="n">
        <f aca="false">IF(A5&gt;Inputs!$B$7,0,$D$2)</f>
        <v>28185.1670698949</v>
      </c>
      <c r="E5" s="38" t="n">
        <f aca="false">B4*Inputs!$B$9</f>
        <v>4720.1</v>
      </c>
      <c r="F5" s="38" t="n">
        <f aca="false">Inputs!$B$10*(1+Inputs!$B$15)^(A5-1)</f>
        <v>2200</v>
      </c>
      <c r="G5" s="38" t="n">
        <f aca="false">Inputs!$B$11*12*(1+Inputs!$B$15)^(A5-1)</f>
        <v>0</v>
      </c>
      <c r="H5" s="38" t="n">
        <f aca="false">B4*Inputs!$B$12</f>
        <v>4291</v>
      </c>
      <c r="I5" s="38" t="n">
        <f aca="false">SUM(D5:H5)</f>
        <v>39396.2670698949</v>
      </c>
      <c r="J5" s="38" t="n">
        <f aca="false">Inputs!$B$18*12*(1+Inputs!$B$19)^(A5-1)</f>
        <v>27468</v>
      </c>
      <c r="K5" s="38" t="n">
        <f aca="false">Inputs!$B$20*(1+Inputs!$B$15)^(A5-1)</f>
        <v>250</v>
      </c>
      <c r="L5" s="38" t="n">
        <f aca="false">J5+K5</f>
        <v>27718</v>
      </c>
      <c r="M5" s="38" t="n">
        <f aca="false">I5-L5</f>
        <v>11678.2670698949</v>
      </c>
      <c r="N5" s="38" t="n">
        <f aca="false">N4*(1+Inputs!$B$23)+MAX(M5,0)</f>
        <v>116292.847069895</v>
      </c>
      <c r="O5" s="38" t="n">
        <f aca="false">O4*(1+Inputs!$B$23)+MAX(-M5,0)</f>
        <v>0</v>
      </c>
      <c r="P5" s="38" t="n">
        <f aca="false">B5*(1-Inputs!$B$14)-C5</f>
        <v>75477.77</v>
      </c>
      <c r="Q5" s="38" t="n">
        <f aca="false">P5+O5</f>
        <v>75477.77</v>
      </c>
      <c r="R5" s="38" t="n">
        <f aca="false">N5</f>
        <v>116292.847069895</v>
      </c>
      <c r="S5" s="38" t="n">
        <f aca="false">Q5-R5</f>
        <v>-40815.0770698949</v>
      </c>
      <c r="T5" s="37" t="str">
        <f aca="false">IF(T4&lt;&gt;"",T4,IF(S5&gt;=0,A5,""))</f>
        <v/>
      </c>
    </row>
    <row r="6" customFormat="false" ht="15" hidden="false" customHeight="true" outlineLevel="0" collapsed="false">
      <c r="A6" s="37" t="n">
        <v>2</v>
      </c>
      <c r="B6" s="38" t="n">
        <f aca="false">B5*(1+Inputs!$B$13)</f>
        <v>455232.19</v>
      </c>
      <c r="C6" s="38" t="n">
        <f aca="false">IF(A6&gt;=Inputs!$B$7,0,ROUND(-FV(Inputs!$B$6/12,A6*12,-$D$2/12,$B$2),2))</f>
        <v>336425.03</v>
      </c>
      <c r="D6" s="38" t="n">
        <f aca="false">IF(A6&gt;Inputs!$B$7,0,$D$2)</f>
        <v>28185.1670698949</v>
      </c>
      <c r="E6" s="38" t="n">
        <f aca="false">B5*Inputs!$B$9</f>
        <v>4861.703</v>
      </c>
      <c r="F6" s="38" t="n">
        <f aca="false">Inputs!$B$10*(1+Inputs!$B$15)^(A6-1)</f>
        <v>2266</v>
      </c>
      <c r="G6" s="38" t="n">
        <f aca="false">Inputs!$B$11*12*(1+Inputs!$B$15)^(A6-1)</f>
        <v>0</v>
      </c>
      <c r="H6" s="38" t="n">
        <f aca="false">B5*Inputs!$B$12</f>
        <v>4419.73</v>
      </c>
      <c r="I6" s="38" t="n">
        <f aca="false">SUM(D6:H6)</f>
        <v>39732.6000698949</v>
      </c>
      <c r="J6" s="38" t="n">
        <f aca="false">Inputs!$B$18*12*(1+Inputs!$B$19)^(A6-1)</f>
        <v>28292.04</v>
      </c>
      <c r="K6" s="38" t="n">
        <f aca="false">Inputs!$B$20*(1+Inputs!$B$15)^(A6-1)</f>
        <v>257.5</v>
      </c>
      <c r="L6" s="38" t="n">
        <f aca="false">J6+K6</f>
        <v>28549.54</v>
      </c>
      <c r="M6" s="38" t="n">
        <f aca="false">I6-L6</f>
        <v>11183.0600698949</v>
      </c>
      <c r="N6" s="38" t="n">
        <f aca="false">N5*(1+Inputs!$B$23)+MAX(M6,0)</f>
        <v>134453.477963984</v>
      </c>
      <c r="O6" s="38" t="n">
        <f aca="false">O5*(1+Inputs!$B$23)+MAX(-M6,0)</f>
        <v>0</v>
      </c>
      <c r="P6" s="38" t="n">
        <f aca="false">B6*(1-Inputs!$B$14)-C6</f>
        <v>91493.2286</v>
      </c>
      <c r="Q6" s="38" t="n">
        <f aca="false">P6+O6</f>
        <v>91493.2286</v>
      </c>
      <c r="R6" s="38" t="n">
        <f aca="false">N6</f>
        <v>134453.477963984</v>
      </c>
      <c r="S6" s="38" t="n">
        <f aca="false">Q6-R6</f>
        <v>-42960.2493639835</v>
      </c>
      <c r="T6" s="37" t="str">
        <f aca="false">IF(T5&lt;&gt;"",T5,IF(S6&gt;=0,A6,""))</f>
        <v/>
      </c>
    </row>
    <row r="7" customFormat="false" ht="15" hidden="false" customHeight="true" outlineLevel="0" collapsed="false">
      <c r="A7" s="37" t="n">
        <v>3</v>
      </c>
      <c r="B7" s="38" t="n">
        <f aca="false">B6*(1+Inputs!$B$13)</f>
        <v>468889.1557</v>
      </c>
      <c r="C7" s="38" t="n">
        <f aca="false">IF(A7&gt;=Inputs!$B$7,0,ROUND(-FV(Inputs!$B$6/12,A7*12,-$D$2/12,$B$2),2))</f>
        <v>332605.85</v>
      </c>
      <c r="D7" s="38" t="n">
        <f aca="false">IF(A7&gt;Inputs!$B$7,0,$D$2)</f>
        <v>28185.1670698949</v>
      </c>
      <c r="E7" s="38" t="n">
        <f aca="false">B6*Inputs!$B$9</f>
        <v>5007.55409</v>
      </c>
      <c r="F7" s="38" t="n">
        <f aca="false">Inputs!$B$10*(1+Inputs!$B$15)^(A7-1)</f>
        <v>2333.98</v>
      </c>
      <c r="G7" s="38" t="n">
        <f aca="false">Inputs!$B$11*12*(1+Inputs!$B$15)^(A7-1)</f>
        <v>0</v>
      </c>
      <c r="H7" s="38" t="n">
        <f aca="false">B6*Inputs!$B$12</f>
        <v>4552.3219</v>
      </c>
      <c r="I7" s="38" t="n">
        <f aca="false">SUM(D7:H7)</f>
        <v>40079.0230598949</v>
      </c>
      <c r="J7" s="38" t="n">
        <f aca="false">Inputs!$B$18*12*(1+Inputs!$B$19)^(A7-1)</f>
        <v>29140.8012</v>
      </c>
      <c r="K7" s="38" t="n">
        <f aca="false">Inputs!$B$20*(1+Inputs!$B$15)^(A7-1)</f>
        <v>265.225</v>
      </c>
      <c r="L7" s="38" t="n">
        <f aca="false">J7+K7</f>
        <v>29406.0262</v>
      </c>
      <c r="M7" s="38" t="n">
        <f aca="false">I7-L7</f>
        <v>10672.9968598949</v>
      </c>
      <c r="N7" s="38" t="n">
        <f aca="false">N6*(1+Inputs!$B$23)+MAX(M7,0)</f>
        <v>153193.683501717</v>
      </c>
      <c r="O7" s="38" t="n">
        <f aca="false">O6*(1+Inputs!$B$23)+MAX(-M7,0)</f>
        <v>0</v>
      </c>
      <c r="P7" s="38" t="n">
        <f aca="false">B7*(1-Inputs!$B$14)-C7</f>
        <v>108149.956358</v>
      </c>
      <c r="Q7" s="38" t="n">
        <f aca="false">P7+O7</f>
        <v>108149.956358</v>
      </c>
      <c r="R7" s="38" t="n">
        <f aca="false">N7</f>
        <v>153193.683501717</v>
      </c>
      <c r="S7" s="38" t="n">
        <f aca="false">Q7-R7</f>
        <v>-45043.7271437174</v>
      </c>
      <c r="T7" s="37" t="str">
        <f aca="false">IF(T6&lt;&gt;"",T6,IF(S7&gt;=0,A7,""))</f>
        <v/>
      </c>
    </row>
    <row r="8" customFormat="false" ht="15" hidden="false" customHeight="true" outlineLevel="0" collapsed="false">
      <c r="A8" s="37" t="n">
        <v>4</v>
      </c>
      <c r="B8" s="38" t="n">
        <f aca="false">B7*(1+Inputs!$B$13)</f>
        <v>482955.830371</v>
      </c>
      <c r="C8" s="38" t="n">
        <f aca="false">IF(A8&gt;=Inputs!$B$7,0,ROUND(-FV(Inputs!$B$6/12,A8*12,-$D$2/12,$B$2),2))</f>
        <v>328499.15</v>
      </c>
      <c r="D8" s="38" t="n">
        <f aca="false">IF(A8&gt;Inputs!$B$7,0,$D$2)</f>
        <v>28185.1670698949</v>
      </c>
      <c r="E8" s="38" t="n">
        <f aca="false">B7*Inputs!$B$9</f>
        <v>5157.7807127</v>
      </c>
      <c r="F8" s="38" t="n">
        <f aca="false">Inputs!$B$10*(1+Inputs!$B$15)^(A8-1)</f>
        <v>2403.9994</v>
      </c>
      <c r="G8" s="38" t="n">
        <f aca="false">Inputs!$B$11*12*(1+Inputs!$B$15)^(A8-1)</f>
        <v>0</v>
      </c>
      <c r="H8" s="38" t="n">
        <f aca="false">B7*Inputs!$B$12</f>
        <v>4688.891557</v>
      </c>
      <c r="I8" s="38" t="n">
        <f aca="false">SUM(D8:H8)</f>
        <v>40435.8387395949</v>
      </c>
      <c r="J8" s="38" t="n">
        <f aca="false">Inputs!$B$18*12*(1+Inputs!$B$19)^(A8-1)</f>
        <v>30015.025236</v>
      </c>
      <c r="K8" s="38" t="n">
        <f aca="false">Inputs!$B$20*(1+Inputs!$B$15)^(A8-1)</f>
        <v>273.18175</v>
      </c>
      <c r="L8" s="38" t="n">
        <f aca="false">J8+K8</f>
        <v>30288.206986</v>
      </c>
      <c r="M8" s="38" t="n">
        <f aca="false">I8-L8</f>
        <v>10147.6317535949</v>
      </c>
      <c r="N8" s="38" t="n">
        <f aca="false">N7*(1+Inputs!$B$23)+MAX(M8,0)</f>
        <v>172532.936265415</v>
      </c>
      <c r="O8" s="38" t="n">
        <f aca="false">O7*(1+Inputs!$B$23)+MAX(-M8,0)</f>
        <v>0</v>
      </c>
      <c r="P8" s="38" t="n">
        <f aca="false">B8*(1-Inputs!$B$14)-C8</f>
        <v>125479.33054874</v>
      </c>
      <c r="Q8" s="38" t="n">
        <f aca="false">P8+O8</f>
        <v>125479.33054874</v>
      </c>
      <c r="R8" s="38" t="n">
        <f aca="false">N8</f>
        <v>172532.936265415</v>
      </c>
      <c r="S8" s="38" t="n">
        <f aca="false">Q8-R8</f>
        <v>-47053.6057166755</v>
      </c>
      <c r="T8" s="37" t="str">
        <f aca="false">IF(T7&lt;&gt;"",T7,IF(S8&gt;=0,A8,""))</f>
        <v/>
      </c>
    </row>
    <row r="9" customFormat="false" ht="15" hidden="false" customHeight="true" outlineLevel="0" collapsed="false">
      <c r="A9" s="37" t="n">
        <v>5</v>
      </c>
      <c r="B9" s="38" t="n">
        <f aca="false">B8*(1+Inputs!$B$13)</f>
        <v>497444.50528213</v>
      </c>
      <c r="C9" s="38" t="n">
        <f aca="false">IF(A9&gt;=Inputs!$B$7,0,ROUND(-FV(Inputs!$B$6/12,A9*12,-$D$2/12,$B$2),2))</f>
        <v>324083.31</v>
      </c>
      <c r="D9" s="38" t="n">
        <f aca="false">IF(A9&gt;Inputs!$B$7,0,$D$2)</f>
        <v>28185.1670698949</v>
      </c>
      <c r="E9" s="38" t="n">
        <f aca="false">B8*Inputs!$B$9</f>
        <v>5312.514134081</v>
      </c>
      <c r="F9" s="38" t="n">
        <f aca="false">Inputs!$B$10*(1+Inputs!$B$15)^(A9-1)</f>
        <v>2476.119382</v>
      </c>
      <c r="G9" s="38" t="n">
        <f aca="false">Inputs!$B$11*12*(1+Inputs!$B$15)^(A9-1)</f>
        <v>0</v>
      </c>
      <c r="H9" s="38" t="n">
        <f aca="false">B8*Inputs!$B$12</f>
        <v>4829.55830371</v>
      </c>
      <c r="I9" s="38" t="n">
        <f aca="false">SUM(D9:H9)</f>
        <v>40803.3588896859</v>
      </c>
      <c r="J9" s="38" t="n">
        <f aca="false">Inputs!$B$18*12*(1+Inputs!$B$19)^(A9-1)</f>
        <v>30915.47599308</v>
      </c>
      <c r="K9" s="38" t="n">
        <f aca="false">Inputs!$B$20*(1+Inputs!$B$15)^(A9-1)</f>
        <v>281.3772025</v>
      </c>
      <c r="L9" s="38" t="n">
        <f aca="false">J9+K9</f>
        <v>31196.85319558</v>
      </c>
      <c r="M9" s="38" t="n">
        <f aca="false">I9-L9</f>
        <v>9606.5056941059</v>
      </c>
      <c r="N9" s="38" t="n">
        <f aca="false">N8*(1+Inputs!$B$23)+MAX(M9,0)</f>
        <v>192491.418135446</v>
      </c>
      <c r="O9" s="38" t="n">
        <f aca="false">O8*(1+Inputs!$B$23)+MAX(-M9,0)</f>
        <v>0</v>
      </c>
      <c r="P9" s="38" t="n">
        <f aca="false">B9*(1-Inputs!$B$14)-C9</f>
        <v>143514.524965202</v>
      </c>
      <c r="Q9" s="38" t="n">
        <f aca="false">P9+O9</f>
        <v>143514.524965202</v>
      </c>
      <c r="R9" s="38" t="n">
        <f aca="false">N9</f>
        <v>192491.418135446</v>
      </c>
      <c r="S9" s="38" t="n">
        <f aca="false">Q9-R9</f>
        <v>-48976.8931702441</v>
      </c>
      <c r="T9" s="37" t="str">
        <f aca="false">IF(T8&lt;&gt;"",T8,IF(S9&gt;=0,A9,""))</f>
        <v/>
      </c>
    </row>
    <row r="10" customFormat="false" ht="15" hidden="false" customHeight="true" outlineLevel="0" collapsed="false">
      <c r="A10" s="37" t="n">
        <v>6</v>
      </c>
      <c r="B10" s="38" t="n">
        <f aca="false">B9*(1+Inputs!$B$13)</f>
        <v>512367.840440594</v>
      </c>
      <c r="C10" s="38" t="n">
        <f aca="false">IF(A10&gt;=Inputs!$B$7,0,ROUND(-FV(Inputs!$B$6/12,A10*12,-$D$2/12,$B$2),2))</f>
        <v>319335.05</v>
      </c>
      <c r="D10" s="38" t="n">
        <f aca="false">IF(A10&gt;Inputs!$B$7,0,$D$2)</f>
        <v>28185.1670698949</v>
      </c>
      <c r="E10" s="38" t="n">
        <f aca="false">B9*Inputs!$B$9</f>
        <v>5471.88955810343</v>
      </c>
      <c r="F10" s="38" t="n">
        <f aca="false">Inputs!$B$10*(1+Inputs!$B$15)^(A10-1)</f>
        <v>2550.40296346</v>
      </c>
      <c r="G10" s="38" t="n">
        <f aca="false">Inputs!$B$11*12*(1+Inputs!$B$15)^(A10-1)</f>
        <v>0</v>
      </c>
      <c r="H10" s="38" t="n">
        <f aca="false">B9*Inputs!$B$12</f>
        <v>4974.4450528213</v>
      </c>
      <c r="I10" s="38" t="n">
        <f aca="false">SUM(D10:H10)</f>
        <v>41181.9046442796</v>
      </c>
      <c r="J10" s="38" t="n">
        <f aca="false">Inputs!$B$18*12*(1+Inputs!$B$19)^(A10-1)</f>
        <v>31842.9402728724</v>
      </c>
      <c r="K10" s="38" t="n">
        <f aca="false">Inputs!$B$20*(1+Inputs!$B$15)^(A10-1)</f>
        <v>289.818518575</v>
      </c>
      <c r="L10" s="38" t="n">
        <f aca="false">J10+K10</f>
        <v>32132.7587914474</v>
      </c>
      <c r="M10" s="38" t="n">
        <f aca="false">I10-L10</f>
        <v>9049.14585283223</v>
      </c>
      <c r="N10" s="38" t="n">
        <f aca="false">N9*(1+Inputs!$B$23)+MAX(M10,0)</f>
        <v>213090.049076405</v>
      </c>
      <c r="O10" s="38" t="n">
        <f aca="false">O9*(1+Inputs!$B$23)+MAX(-M10,0)</f>
        <v>0</v>
      </c>
      <c r="P10" s="38" t="n">
        <f aca="false">B10*(1-Inputs!$B$14)-C10</f>
        <v>162290.720014158</v>
      </c>
      <c r="Q10" s="38" t="n">
        <f aca="false">P10+O10</f>
        <v>162290.720014158</v>
      </c>
      <c r="R10" s="38" t="n">
        <f aca="false">N10</f>
        <v>213090.049076405</v>
      </c>
      <c r="S10" s="38" t="n">
        <f aca="false">Q10-R10</f>
        <v>-50799.329062247</v>
      </c>
      <c r="T10" s="37" t="str">
        <f aca="false">IF(T9&lt;&gt;"",T9,IF(S10&gt;=0,A10,""))</f>
        <v/>
      </c>
    </row>
    <row r="11" customFormat="false" ht="15" hidden="false" customHeight="true" outlineLevel="0" collapsed="false">
      <c r="A11" s="37" t="n">
        <v>7</v>
      </c>
      <c r="B11" s="38" t="n">
        <f aca="false">B10*(1+Inputs!$B$13)</f>
        <v>527738.875653812</v>
      </c>
      <c r="C11" s="38" t="n">
        <f aca="false">IF(A11&gt;=Inputs!$B$7,0,ROUND(-FV(Inputs!$B$6/12,A11*12,-$D$2/12,$B$2),2))</f>
        <v>314229.35</v>
      </c>
      <c r="D11" s="38" t="n">
        <f aca="false">IF(A11&gt;Inputs!$B$7,0,$D$2)</f>
        <v>28185.1670698949</v>
      </c>
      <c r="E11" s="38" t="n">
        <f aca="false">B10*Inputs!$B$9</f>
        <v>5636.04624484653</v>
      </c>
      <c r="F11" s="38" t="n">
        <f aca="false">Inputs!$B$10*(1+Inputs!$B$15)^(A11-1)</f>
        <v>2626.9150523638</v>
      </c>
      <c r="G11" s="38" t="n">
        <f aca="false">Inputs!$B$11*12*(1+Inputs!$B$15)^(A11-1)</f>
        <v>0</v>
      </c>
      <c r="H11" s="38" t="n">
        <f aca="false">B10*Inputs!$B$12</f>
        <v>5123.67840440594</v>
      </c>
      <c r="I11" s="38" t="n">
        <f aca="false">SUM(D11:H11)</f>
        <v>41571.8067715112</v>
      </c>
      <c r="J11" s="38" t="n">
        <f aca="false">Inputs!$B$18*12*(1+Inputs!$B$19)^(A11-1)</f>
        <v>32798.2284810586</v>
      </c>
      <c r="K11" s="38" t="n">
        <f aca="false">Inputs!$B$20*(1+Inputs!$B$15)^(A11-1)</f>
        <v>298.51307413225</v>
      </c>
      <c r="L11" s="38" t="n">
        <f aca="false">J11+K11</f>
        <v>33096.7415551908</v>
      </c>
      <c r="M11" s="38" t="n">
        <f aca="false">I11-L11</f>
        <v>8475.06521632035</v>
      </c>
      <c r="N11" s="38" t="n">
        <f aca="false">N10*(1+Inputs!$B$23)+MAX(M11,0)</f>
        <v>234350.51723731</v>
      </c>
      <c r="O11" s="38" t="n">
        <f aca="false">O10*(1+Inputs!$B$23)+MAX(-M11,0)</f>
        <v>0</v>
      </c>
      <c r="P11" s="38" t="n">
        <f aca="false">B11*(1-Inputs!$B$14)-C11</f>
        <v>181845.193114583</v>
      </c>
      <c r="Q11" s="38" t="n">
        <f aca="false">P11+O11</f>
        <v>181845.193114583</v>
      </c>
      <c r="R11" s="38" t="n">
        <f aca="false">N11</f>
        <v>234350.51723731</v>
      </c>
      <c r="S11" s="38" t="n">
        <f aca="false">Q11-R11</f>
        <v>-52505.3241227269</v>
      </c>
      <c r="T11" s="37" t="str">
        <f aca="false">IF(T10&lt;&gt;"",T10,IF(S11&gt;=0,A11,""))</f>
        <v/>
      </c>
    </row>
    <row r="12" customFormat="false" ht="15" hidden="false" customHeight="true" outlineLevel="0" collapsed="false">
      <c r="A12" s="37" t="n">
        <v>8</v>
      </c>
      <c r="B12" s="38" t="n">
        <f aca="false">B11*(1+Inputs!$B$13)</f>
        <v>543571.041923426</v>
      </c>
      <c r="C12" s="38" t="n">
        <f aca="false">IF(A12&gt;=Inputs!$B$7,0,ROUND(-FV(Inputs!$B$6/12,A12*12,-$D$2/12,$B$2),2))</f>
        <v>308739.3</v>
      </c>
      <c r="D12" s="38" t="n">
        <f aca="false">IF(A12&gt;Inputs!$B$7,0,$D$2)</f>
        <v>28185.1670698949</v>
      </c>
      <c r="E12" s="38" t="n">
        <f aca="false">B11*Inputs!$B$9</f>
        <v>5805.12763219193</v>
      </c>
      <c r="F12" s="38" t="n">
        <f aca="false">Inputs!$B$10*(1+Inputs!$B$15)^(A12-1)</f>
        <v>2705.72250393471</v>
      </c>
      <c r="G12" s="38" t="n">
        <f aca="false">Inputs!$B$11*12*(1+Inputs!$B$15)^(A12-1)</f>
        <v>0</v>
      </c>
      <c r="H12" s="38" t="n">
        <f aca="false">B11*Inputs!$B$12</f>
        <v>5277.38875653812</v>
      </c>
      <c r="I12" s="38" t="n">
        <f aca="false">SUM(D12:H12)</f>
        <v>41973.4059625597</v>
      </c>
      <c r="J12" s="38" t="n">
        <f aca="false">Inputs!$B$18*12*(1+Inputs!$B$19)^(A12-1)</f>
        <v>33782.1753354903</v>
      </c>
      <c r="K12" s="38" t="n">
        <f aca="false">Inputs!$B$20*(1+Inputs!$B$15)^(A12-1)</f>
        <v>307.468466356218</v>
      </c>
      <c r="L12" s="38" t="n">
        <f aca="false">J12+K12</f>
        <v>34089.6438018466</v>
      </c>
      <c r="M12" s="38" t="n">
        <f aca="false">I12-L12</f>
        <v>7883.76216071312</v>
      </c>
      <c r="N12" s="38" t="n">
        <f aca="false">N11*(1+Inputs!$B$23)+MAX(M12,0)</f>
        <v>256295.310432262</v>
      </c>
      <c r="O12" s="38" t="n">
        <f aca="false">O11*(1+Inputs!$B$23)+MAX(-M12,0)</f>
        <v>0</v>
      </c>
      <c r="P12" s="38" t="n">
        <f aca="false">B12*(1-Inputs!$B$14)-C12</f>
        <v>202217.479408021</v>
      </c>
      <c r="Q12" s="38" t="n">
        <f aca="false">P12+O12</f>
        <v>202217.479408021</v>
      </c>
      <c r="R12" s="38" t="n">
        <f aca="false">N12</f>
        <v>256295.310432262</v>
      </c>
      <c r="S12" s="38" t="n">
        <f aca="false">Q12-R12</f>
        <v>-54077.8310242412</v>
      </c>
      <c r="T12" s="37" t="str">
        <f aca="false">IF(T11&lt;&gt;"",T11,IF(S12&gt;=0,A12,""))</f>
        <v/>
      </c>
    </row>
    <row r="13" customFormat="false" ht="15" hidden="false" customHeight="true" outlineLevel="0" collapsed="false">
      <c r="A13" s="37" t="n">
        <v>9</v>
      </c>
      <c r="B13" s="38" t="n">
        <f aca="false">B12*(1+Inputs!$B$13)</f>
        <v>559878.173181129</v>
      </c>
      <c r="C13" s="38" t="n">
        <f aca="false">IF(A13&gt;=Inputs!$B$7,0,ROUND(-FV(Inputs!$B$6/12,A13*12,-$D$2/12,$B$2),2))</f>
        <v>302835.96</v>
      </c>
      <c r="D13" s="38" t="n">
        <f aca="false">IF(A13&gt;Inputs!$B$7,0,$D$2)</f>
        <v>28185.1670698949</v>
      </c>
      <c r="E13" s="38" t="n">
        <f aca="false">B12*Inputs!$B$9</f>
        <v>5979.28146115769</v>
      </c>
      <c r="F13" s="38" t="n">
        <f aca="false">Inputs!$B$10*(1+Inputs!$B$15)^(A13-1)</f>
        <v>2786.89417905276</v>
      </c>
      <c r="G13" s="38" t="n">
        <f aca="false">Inputs!$B$11*12*(1+Inputs!$B$15)^(A13-1)</f>
        <v>0</v>
      </c>
      <c r="H13" s="38" t="n">
        <f aca="false">B12*Inputs!$B$12</f>
        <v>5435.71041923426</v>
      </c>
      <c r="I13" s="38" t="n">
        <f aca="false">SUM(D13:H13)</f>
        <v>42387.0531293396</v>
      </c>
      <c r="J13" s="38" t="n">
        <f aca="false">Inputs!$B$18*12*(1+Inputs!$B$19)^(A13-1)</f>
        <v>34795.640595555</v>
      </c>
      <c r="K13" s="38" t="n">
        <f aca="false">Inputs!$B$20*(1+Inputs!$B$15)^(A13-1)</f>
        <v>316.692520346904</v>
      </c>
      <c r="L13" s="38" t="n">
        <f aca="false">J13+K13</f>
        <v>35112.333115902</v>
      </c>
      <c r="M13" s="38" t="n">
        <f aca="false">I13-L13</f>
        <v>7274.72001343765</v>
      </c>
      <c r="N13" s="38" t="n">
        <f aca="false">N12*(1+Inputs!$B$23)+MAX(M13,0)</f>
        <v>278947.749071635</v>
      </c>
      <c r="O13" s="38" t="n">
        <f aca="false">O12*(1+Inputs!$B$23)+MAX(-M13,0)</f>
        <v>0</v>
      </c>
      <c r="P13" s="38" t="n">
        <f aca="false">B13*(1-Inputs!$B$14)-C13</f>
        <v>223449.522790261</v>
      </c>
      <c r="Q13" s="38" t="n">
        <f aca="false">P13+O13</f>
        <v>223449.522790261</v>
      </c>
      <c r="R13" s="38" t="n">
        <f aca="false">N13</f>
        <v>278947.749071635</v>
      </c>
      <c r="S13" s="38" t="n">
        <f aca="false">Q13-R13</f>
        <v>-55498.2262813739</v>
      </c>
      <c r="T13" s="37" t="str">
        <f aca="false">IF(T12&lt;&gt;"",T12,IF(S13&gt;=0,A13,""))</f>
        <v/>
      </c>
    </row>
    <row r="14" customFormat="false" ht="15" hidden="false" customHeight="true" outlineLevel="0" collapsed="false">
      <c r="A14" s="37" t="n">
        <v>10</v>
      </c>
      <c r="B14" s="38" t="n">
        <f aca="false">B13*(1+Inputs!$B$13)</f>
        <v>576674.518376563</v>
      </c>
      <c r="C14" s="38" t="n">
        <f aca="false">IF(A14&gt;=Inputs!$B$7,0,ROUND(-FV(Inputs!$B$6/12,A14*12,-$D$2/12,$B$2),2))</f>
        <v>296488.22</v>
      </c>
      <c r="D14" s="38" t="n">
        <f aca="false">IF(A14&gt;Inputs!$B$7,0,$D$2)</f>
        <v>28185.1670698949</v>
      </c>
      <c r="E14" s="38" t="n">
        <f aca="false">B13*Inputs!$B$9</f>
        <v>6158.65990499242</v>
      </c>
      <c r="F14" s="38" t="n">
        <f aca="false">Inputs!$B$10*(1+Inputs!$B$15)^(A14-1)</f>
        <v>2870.50100442434</v>
      </c>
      <c r="G14" s="38" t="n">
        <f aca="false">Inputs!$B$11*12*(1+Inputs!$B$15)^(A14-1)</f>
        <v>0</v>
      </c>
      <c r="H14" s="38" t="n">
        <f aca="false">B13*Inputs!$B$12</f>
        <v>5598.78173181129</v>
      </c>
      <c r="I14" s="38" t="n">
        <f aca="false">SUM(D14:H14)</f>
        <v>42813.109711123</v>
      </c>
      <c r="J14" s="38" t="n">
        <f aca="false">Inputs!$B$18*12*(1+Inputs!$B$19)^(A14-1)</f>
        <v>35839.5098134217</v>
      </c>
      <c r="K14" s="38" t="n">
        <f aca="false">Inputs!$B$20*(1+Inputs!$B$15)^(A14-1)</f>
        <v>326.193295957311</v>
      </c>
      <c r="L14" s="38" t="n">
        <f aca="false">J14+K14</f>
        <v>36165.703109379</v>
      </c>
      <c r="M14" s="38" t="n">
        <f aca="false">I14-L14</f>
        <v>6647.40660174394</v>
      </c>
      <c r="N14" s="38" t="n">
        <f aca="false">N13*(1+Inputs!$B$23)+MAX(M14,0)</f>
        <v>302332.020617677</v>
      </c>
      <c r="O14" s="38" t="n">
        <f aca="false">O13*(1+Inputs!$B$23)+MAX(-M14,0)</f>
        <v>0</v>
      </c>
      <c r="P14" s="38" t="n">
        <f aca="false">B14*(1-Inputs!$B$14)-C14</f>
        <v>245585.827273969</v>
      </c>
      <c r="Q14" s="38" t="n">
        <f aca="false">P14+O14</f>
        <v>245585.827273969</v>
      </c>
      <c r="R14" s="38" t="n">
        <f aca="false">N14</f>
        <v>302332.020617677</v>
      </c>
      <c r="S14" s="38" t="n">
        <f aca="false">Q14-R14</f>
        <v>-56746.1933437081</v>
      </c>
      <c r="T14" s="37" t="str">
        <f aca="false">IF(T13&lt;&gt;"",T13,IF(S14&gt;=0,A14,""))</f>
        <v/>
      </c>
    </row>
    <row r="15" customFormat="false" ht="15" hidden="false" customHeight="true" outlineLevel="0" collapsed="false">
      <c r="A15" s="37" t="n">
        <v>11</v>
      </c>
      <c r="B15" s="38" t="n">
        <f aca="false">B14*(1+Inputs!$B$13)</f>
        <v>593974.75392786</v>
      </c>
      <c r="C15" s="38" t="n">
        <f aca="false">IF(A15&gt;=Inputs!$B$7,0,ROUND(-FV(Inputs!$B$6/12,A15*12,-$D$2/12,$B$2),2))</f>
        <v>289662.63</v>
      </c>
      <c r="D15" s="38" t="n">
        <f aca="false">IF(A15&gt;Inputs!$B$7,0,$D$2)</f>
        <v>28185.1670698949</v>
      </c>
      <c r="E15" s="38" t="n">
        <f aca="false">B14*Inputs!$B$9</f>
        <v>6343.41970214219</v>
      </c>
      <c r="F15" s="38" t="n">
        <f aca="false">Inputs!$B$10*(1+Inputs!$B$15)^(A15-1)</f>
        <v>2956.61603455707</v>
      </c>
      <c r="G15" s="38" t="n">
        <f aca="false">Inputs!$B$11*12*(1+Inputs!$B$15)^(A15-1)</f>
        <v>0</v>
      </c>
      <c r="H15" s="38" t="n">
        <f aca="false">B14*Inputs!$B$12</f>
        <v>5766.74518376563</v>
      </c>
      <c r="I15" s="38" t="n">
        <f aca="false">SUM(D15:H15)</f>
        <v>43251.9479903598</v>
      </c>
      <c r="J15" s="38" t="n">
        <f aca="false">Inputs!$B$18*12*(1+Inputs!$B$19)^(A15-1)</f>
        <v>36914.6951078244</v>
      </c>
      <c r="K15" s="38" t="n">
        <f aca="false">Inputs!$B$20*(1+Inputs!$B$15)^(A15-1)</f>
        <v>335.979094836031</v>
      </c>
      <c r="L15" s="38" t="n">
        <f aca="false">J15+K15</f>
        <v>37250.6742026604</v>
      </c>
      <c r="M15" s="38" t="n">
        <f aca="false">I15-L15</f>
        <v>6001.27378769941</v>
      </c>
      <c r="N15" s="38" t="n">
        <f aca="false">N14*(1+Inputs!$B$23)+MAX(M15,0)</f>
        <v>326473.215642437</v>
      </c>
      <c r="O15" s="38" t="n">
        <f aca="false">O14*(1+Inputs!$B$23)+MAX(-M15,0)</f>
        <v>0</v>
      </c>
      <c r="P15" s="38" t="n">
        <f aca="false">B15*(1-Inputs!$B$14)-C15</f>
        <v>268673.638692188</v>
      </c>
      <c r="Q15" s="38" t="n">
        <f aca="false">P15+O15</f>
        <v>268673.638692188</v>
      </c>
      <c r="R15" s="38" t="n">
        <f aca="false">N15</f>
        <v>326473.215642437</v>
      </c>
      <c r="S15" s="38" t="n">
        <f aca="false">Q15-R15</f>
        <v>-57799.5769502491</v>
      </c>
      <c r="T15" s="37" t="str">
        <f aca="false">IF(T14&lt;&gt;"",T14,IF(S15&gt;=0,A15,""))</f>
        <v/>
      </c>
    </row>
    <row r="16" customFormat="false" ht="15" hidden="false" customHeight="true" outlineLevel="0" collapsed="false">
      <c r="A16" s="37" t="n">
        <v>12</v>
      </c>
      <c r="B16" s="38" t="n">
        <f aca="false">B15*(1+Inputs!$B$13)</f>
        <v>611793.996545696</v>
      </c>
      <c r="C16" s="38" t="n">
        <f aca="false">IF(A16&gt;=Inputs!$B$7,0,ROUND(-FV(Inputs!$B$6/12,A16*12,-$D$2/12,$B$2),2))</f>
        <v>282323.22</v>
      </c>
      <c r="D16" s="38" t="n">
        <f aca="false">IF(A16&gt;Inputs!$B$7,0,$D$2)</f>
        <v>28185.1670698949</v>
      </c>
      <c r="E16" s="38" t="n">
        <f aca="false">B15*Inputs!$B$9</f>
        <v>6533.72229320646</v>
      </c>
      <c r="F16" s="38" t="n">
        <f aca="false">Inputs!$B$10*(1+Inputs!$B$15)^(A16-1)</f>
        <v>3045.31451559378</v>
      </c>
      <c r="G16" s="38" t="n">
        <f aca="false">Inputs!$B$11*12*(1+Inputs!$B$15)^(A16-1)</f>
        <v>0</v>
      </c>
      <c r="H16" s="38" t="n">
        <f aca="false">B15*Inputs!$B$12</f>
        <v>5939.7475392786</v>
      </c>
      <c r="I16" s="38" t="n">
        <f aca="false">SUM(D16:H16)</f>
        <v>43703.9514179737</v>
      </c>
      <c r="J16" s="38" t="n">
        <f aca="false">Inputs!$B$18*12*(1+Inputs!$B$19)^(A16-1)</f>
        <v>38022.1359610591</v>
      </c>
      <c r="K16" s="38" t="n">
        <f aca="false">Inputs!$B$20*(1+Inputs!$B$15)^(A16-1)</f>
        <v>346.058467681112</v>
      </c>
      <c r="L16" s="38" t="n">
        <f aca="false">J16+K16</f>
        <v>38368.1944287402</v>
      </c>
      <c r="M16" s="38" t="n">
        <f aca="false">I16-L16</f>
        <v>5335.75698923355</v>
      </c>
      <c r="N16" s="38" t="n">
        <f aca="false">N15*(1+Inputs!$B$23)+MAX(M16,0)</f>
        <v>351397.365570217</v>
      </c>
      <c r="O16" s="38" t="n">
        <f aca="false">O15*(1+Inputs!$B$23)+MAX(-M16,0)</f>
        <v>0</v>
      </c>
      <c r="P16" s="38" t="n">
        <f aca="false">B16*(1-Inputs!$B$14)-C16</f>
        <v>292763.136752954</v>
      </c>
      <c r="Q16" s="38" t="n">
        <f aca="false">P16+O16</f>
        <v>292763.136752954</v>
      </c>
      <c r="R16" s="38" t="n">
        <f aca="false">N16</f>
        <v>351397.365570217</v>
      </c>
      <c r="S16" s="38" t="n">
        <f aca="false">Q16-R16</f>
        <v>-58634.2288172632</v>
      </c>
      <c r="T16" s="37" t="str">
        <f aca="false">IF(T15&lt;&gt;"",T15,IF(S16&gt;=0,A16,""))</f>
        <v/>
      </c>
    </row>
    <row r="17" customFormat="false" ht="15" hidden="false" customHeight="true" outlineLevel="0" collapsed="false">
      <c r="A17" s="37" t="n">
        <v>13</v>
      </c>
      <c r="B17" s="38" t="n">
        <f aca="false">B16*(1+Inputs!$B$13)</f>
        <v>630147.816442066</v>
      </c>
      <c r="C17" s="38" t="n">
        <f aca="false">IF(A17&gt;=Inputs!$B$7,0,ROUND(-FV(Inputs!$B$6/12,A17*12,-$D$2/12,$B$2),2))</f>
        <v>274431.31</v>
      </c>
      <c r="D17" s="38" t="n">
        <f aca="false">IF(A17&gt;Inputs!$B$7,0,$D$2)</f>
        <v>28185.1670698949</v>
      </c>
      <c r="E17" s="38" t="n">
        <f aca="false">B16*Inputs!$B$9</f>
        <v>6729.73396200265</v>
      </c>
      <c r="F17" s="38" t="n">
        <f aca="false">Inputs!$B$10*(1+Inputs!$B$15)^(A17-1)</f>
        <v>3136.67395106159</v>
      </c>
      <c r="G17" s="38" t="n">
        <f aca="false">Inputs!$B$11*12*(1+Inputs!$B$15)^(A17-1)</f>
        <v>0</v>
      </c>
      <c r="H17" s="38" t="n">
        <f aca="false">B16*Inputs!$B$12</f>
        <v>6117.93996545696</v>
      </c>
      <c r="I17" s="38" t="n">
        <f aca="false">SUM(D17:H17)</f>
        <v>44169.5149484161</v>
      </c>
      <c r="J17" s="38" t="n">
        <f aca="false">Inputs!$B$18*12*(1+Inputs!$B$19)^(A17-1)</f>
        <v>39162.8000398909</v>
      </c>
      <c r="K17" s="38" t="n">
        <f aca="false">Inputs!$B$20*(1+Inputs!$B$15)^(A17-1)</f>
        <v>356.440221711545</v>
      </c>
      <c r="L17" s="38" t="n">
        <f aca="false">J17+K17</f>
        <v>39519.2402616024</v>
      </c>
      <c r="M17" s="38" t="n">
        <f aca="false">I17-L17</f>
        <v>4650.2746868137</v>
      </c>
      <c r="N17" s="38" t="n">
        <f aca="false">N16*(1+Inputs!$B$23)+MAX(M17,0)</f>
        <v>377131.482191244</v>
      </c>
      <c r="O17" s="38" t="n">
        <f aca="false">O16*(1+Inputs!$B$23)+MAX(-M17,0)</f>
        <v>0</v>
      </c>
      <c r="P17" s="38" t="n">
        <f aca="false">B17*(1-Inputs!$B$14)-C17</f>
        <v>317907.637455542</v>
      </c>
      <c r="Q17" s="38" t="n">
        <f aca="false">P17+O17</f>
        <v>317907.637455542</v>
      </c>
      <c r="R17" s="38" t="n">
        <f aca="false">N17</f>
        <v>377131.482191244</v>
      </c>
      <c r="S17" s="38" t="n">
        <f aca="false">Q17-R17</f>
        <v>-59223.8447357015</v>
      </c>
      <c r="T17" s="37" t="str">
        <f aca="false">IF(T16&lt;&gt;"",T16,IF(S17&gt;=0,A17,""))</f>
        <v/>
      </c>
    </row>
    <row r="18" customFormat="false" ht="15" hidden="false" customHeight="true" outlineLevel="0" collapsed="false">
      <c r="A18" s="37" t="n">
        <v>14</v>
      </c>
      <c r="B18" s="38" t="n">
        <f aca="false">B17*(1+Inputs!$B$13)</f>
        <v>649052.250935328</v>
      </c>
      <c r="C18" s="38" t="n">
        <f aca="false">IF(A18&gt;=Inputs!$B$7,0,ROUND(-FV(Inputs!$B$6/12,A18*12,-$D$2/12,$B$2),2))</f>
        <v>265945.3</v>
      </c>
      <c r="D18" s="38" t="n">
        <f aca="false">IF(A18&gt;Inputs!$B$7,0,$D$2)</f>
        <v>28185.1670698949</v>
      </c>
      <c r="E18" s="38" t="n">
        <f aca="false">B17*Inputs!$B$9</f>
        <v>6931.62598086273</v>
      </c>
      <c r="F18" s="38" t="n">
        <f aca="false">Inputs!$B$10*(1+Inputs!$B$15)^(A18-1)</f>
        <v>3230.77416959344</v>
      </c>
      <c r="G18" s="38" t="n">
        <f aca="false">Inputs!$B$11*12*(1+Inputs!$B$15)^(A18-1)</f>
        <v>0</v>
      </c>
      <c r="H18" s="38" t="n">
        <f aca="false">B17*Inputs!$B$12</f>
        <v>6301.47816442066</v>
      </c>
      <c r="I18" s="38" t="n">
        <f aca="false">SUM(D18:H18)</f>
        <v>44649.0453847717</v>
      </c>
      <c r="J18" s="38" t="n">
        <f aca="false">Inputs!$B$18*12*(1+Inputs!$B$19)^(A18-1)</f>
        <v>40337.6840410876</v>
      </c>
      <c r="K18" s="38" t="n">
        <f aca="false">Inputs!$B$20*(1+Inputs!$B$15)^(A18-1)</f>
        <v>367.133428362891</v>
      </c>
      <c r="L18" s="38" t="n">
        <f aca="false">J18+K18</f>
        <v>40704.8174694505</v>
      </c>
      <c r="M18" s="38" t="n">
        <f aca="false">I18-L18</f>
        <v>3944.22791532127</v>
      </c>
      <c r="N18" s="38" t="n">
        <f aca="false">N17*(1+Inputs!$B$23)+MAX(M18,0)</f>
        <v>403703.59903804</v>
      </c>
      <c r="O18" s="38" t="n">
        <f aca="false">O17*(1+Inputs!$B$23)+MAX(-M18,0)</f>
        <v>0</v>
      </c>
      <c r="P18" s="38" t="n">
        <f aca="false">B18*(1-Inputs!$B$14)-C18</f>
        <v>344163.815879209</v>
      </c>
      <c r="Q18" s="38" t="n">
        <f aca="false">P18+O18</f>
        <v>344163.815879209</v>
      </c>
      <c r="R18" s="38" t="n">
        <f aca="false">N18</f>
        <v>403703.59903804</v>
      </c>
      <c r="S18" s="38" t="n">
        <f aca="false">Q18-R18</f>
        <v>-59539.7831588311</v>
      </c>
      <c r="T18" s="37" t="str">
        <f aca="false">IF(T17&lt;&gt;"",T17,IF(S18&gt;=0,A18,""))</f>
        <v/>
      </c>
    </row>
    <row r="19" customFormat="false" ht="15" hidden="false" customHeight="true" outlineLevel="0" collapsed="false">
      <c r="A19" s="37" t="n">
        <v>15</v>
      </c>
      <c r="B19" s="38" t="n">
        <f aca="false">B18*(1+Inputs!$B$13)</f>
        <v>668523.818463388</v>
      </c>
      <c r="C19" s="38" t="n">
        <f aca="false">IF(A19&gt;=Inputs!$B$7,0,ROUND(-FV(Inputs!$B$6/12,A19*12,-$D$2/12,$B$2),2))</f>
        <v>256820.48</v>
      </c>
      <c r="D19" s="38" t="n">
        <f aca="false">IF(A19&gt;Inputs!$B$7,0,$D$2)</f>
        <v>28185.1670698949</v>
      </c>
      <c r="E19" s="38" t="n">
        <f aca="false">B18*Inputs!$B$9</f>
        <v>7139.57476028861</v>
      </c>
      <c r="F19" s="38" t="n">
        <f aca="false">Inputs!$B$10*(1+Inputs!$B$15)^(A19-1)</f>
        <v>3327.69739468125</v>
      </c>
      <c r="G19" s="38" t="n">
        <f aca="false">Inputs!$B$11*12*(1+Inputs!$B$15)^(A19-1)</f>
        <v>0</v>
      </c>
      <c r="H19" s="38" t="n">
        <f aca="false">B18*Inputs!$B$12</f>
        <v>6490.52250935328</v>
      </c>
      <c r="I19" s="38" t="n">
        <f aca="false">SUM(D19:H19)</f>
        <v>45142.961734218</v>
      </c>
      <c r="J19" s="38" t="n">
        <f aca="false">Inputs!$B$18*12*(1+Inputs!$B$19)^(A19-1)</f>
        <v>41547.8145623202</v>
      </c>
      <c r="K19" s="38" t="n">
        <f aca="false">Inputs!$B$20*(1+Inputs!$B$15)^(A19-1)</f>
        <v>378.147431213778</v>
      </c>
      <c r="L19" s="38" t="n">
        <f aca="false">J19+K19</f>
        <v>41925.961993534</v>
      </c>
      <c r="M19" s="38" t="n">
        <f aca="false">I19-L19</f>
        <v>3216.99974068405</v>
      </c>
      <c r="N19" s="38" t="n">
        <f aca="false">N18*(1+Inputs!$B$23)+MAX(M19,0)</f>
        <v>431142.814721006</v>
      </c>
      <c r="O19" s="38" t="n">
        <f aca="false">O18*(1+Inputs!$B$23)+MAX(-M19,0)</f>
        <v>0</v>
      </c>
      <c r="P19" s="38" t="n">
        <f aca="false">B19*(1-Inputs!$B$14)-C19</f>
        <v>371591.909355585</v>
      </c>
      <c r="Q19" s="38" t="n">
        <f aca="false">P19+O19</f>
        <v>371591.909355585</v>
      </c>
      <c r="R19" s="38" t="n">
        <f aca="false">N19</f>
        <v>431142.814721006</v>
      </c>
      <c r="S19" s="38" t="n">
        <f aca="false">Q19-R19</f>
        <v>-59550.9053654213</v>
      </c>
      <c r="T19" s="37" t="str">
        <f aca="false">IF(T18&lt;&gt;"",T18,IF(S19&gt;=0,A19,""))</f>
        <v/>
      </c>
    </row>
    <row r="20" customFormat="false" ht="15" hidden="false" customHeight="true" outlineLevel="0" collapsed="false">
      <c r="A20" s="37" t="n">
        <v>16</v>
      </c>
      <c r="B20" s="38" t="n">
        <f aca="false">B19*(1+Inputs!$B$13)</f>
        <v>688579.53301729</v>
      </c>
      <c r="C20" s="38" t="n">
        <f aca="false">IF(A20&gt;=Inputs!$B$7,0,ROUND(-FV(Inputs!$B$6/12,A20*12,-$D$2/12,$B$2),2))</f>
        <v>247008.75</v>
      </c>
      <c r="D20" s="38" t="n">
        <f aca="false">IF(A20&gt;Inputs!$B$7,0,$D$2)</f>
        <v>28185.1670698949</v>
      </c>
      <c r="E20" s="38" t="n">
        <f aca="false">B19*Inputs!$B$9</f>
        <v>7353.76200309727</v>
      </c>
      <c r="F20" s="38" t="n">
        <f aca="false">Inputs!$B$10*(1+Inputs!$B$15)^(A20-1)</f>
        <v>3427.52831652168</v>
      </c>
      <c r="G20" s="38" t="n">
        <f aca="false">Inputs!$B$11*12*(1+Inputs!$B$15)^(A20-1)</f>
        <v>0</v>
      </c>
      <c r="H20" s="38" t="n">
        <f aca="false">B19*Inputs!$B$12</f>
        <v>6685.23818463388</v>
      </c>
      <c r="I20" s="38" t="n">
        <f aca="false">SUM(D20:H20)</f>
        <v>45651.6955741477</v>
      </c>
      <c r="J20" s="38" t="n">
        <f aca="false">Inputs!$B$18*12*(1+Inputs!$B$19)^(A20-1)</f>
        <v>42794.2489991898</v>
      </c>
      <c r="K20" s="38" t="n">
        <f aca="false">Inputs!$B$20*(1+Inputs!$B$15)^(A20-1)</f>
        <v>389.491854150191</v>
      </c>
      <c r="L20" s="38" t="n">
        <f aca="false">J20+K20</f>
        <v>43183.74085334</v>
      </c>
      <c r="M20" s="38" t="n">
        <f aca="false">I20-L20</f>
        <v>2467.95472080773</v>
      </c>
      <c r="N20" s="38" t="n">
        <f aca="false">N19*(1+Inputs!$B$23)+MAX(M20,0)</f>
        <v>459479.338325074</v>
      </c>
      <c r="O20" s="38" t="n">
        <f aca="false">O19*(1+Inputs!$B$23)+MAX(-M20,0)</f>
        <v>0</v>
      </c>
      <c r="P20" s="38" t="n">
        <f aca="false">B20*(1-Inputs!$B$14)-C20</f>
        <v>400256.011036252</v>
      </c>
      <c r="Q20" s="38" t="n">
        <f aca="false">P20+O20</f>
        <v>400256.011036252</v>
      </c>
      <c r="R20" s="38" t="n">
        <f aca="false">N20</f>
        <v>459479.338325074</v>
      </c>
      <c r="S20" s="38" t="n">
        <f aca="false">Q20-R20</f>
        <v>-59223.3272888219</v>
      </c>
      <c r="T20" s="37" t="str">
        <f aca="false">IF(T19&lt;&gt;"",T19,IF(S20&gt;=0,A20,""))</f>
        <v/>
      </c>
    </row>
    <row r="21" customFormat="false" ht="15" hidden="false" customHeight="true" outlineLevel="0" collapsed="false">
      <c r="A21" s="37" t="n">
        <v>17</v>
      </c>
      <c r="B21" s="38" t="n">
        <f aca="false">B20*(1+Inputs!$B$13)</f>
        <v>709236.919007809</v>
      </c>
      <c r="C21" s="38" t="n">
        <f aca="false">IF(A21&gt;=Inputs!$B$7,0,ROUND(-FV(Inputs!$B$6/12,A21*12,-$D$2/12,$B$2),2))</f>
        <v>236458.4</v>
      </c>
      <c r="D21" s="38" t="n">
        <f aca="false">IF(A21&gt;Inputs!$B$7,0,$D$2)</f>
        <v>28185.1670698949</v>
      </c>
      <c r="E21" s="38" t="n">
        <f aca="false">B20*Inputs!$B$9</f>
        <v>7574.37486319019</v>
      </c>
      <c r="F21" s="38" t="n">
        <f aca="false">Inputs!$B$10*(1+Inputs!$B$15)^(A21-1)</f>
        <v>3530.35416601733</v>
      </c>
      <c r="G21" s="38" t="n">
        <f aca="false">Inputs!$B$11*12*(1+Inputs!$B$15)^(A21-1)</f>
        <v>0</v>
      </c>
      <c r="H21" s="38" t="n">
        <f aca="false">B20*Inputs!$B$12</f>
        <v>6885.7953301729</v>
      </c>
      <c r="I21" s="38" t="n">
        <f aca="false">SUM(D21:H21)</f>
        <v>46175.6914292753</v>
      </c>
      <c r="J21" s="38" t="n">
        <f aca="false">Inputs!$B$18*12*(1+Inputs!$B$19)^(A21-1)</f>
        <v>44078.0764691655</v>
      </c>
      <c r="K21" s="38" t="n">
        <f aca="false">Inputs!$B$20*(1+Inputs!$B$15)^(A21-1)</f>
        <v>401.176609774697</v>
      </c>
      <c r="L21" s="38" t="n">
        <f aca="false">J21+K21</f>
        <v>44479.2530789402</v>
      </c>
      <c r="M21" s="38" t="n">
        <f aca="false">I21-L21</f>
        <v>1696.43835033511</v>
      </c>
      <c r="N21" s="38" t="n">
        <f aca="false">N20*(1+Inputs!$B$23)+MAX(M21,0)</f>
        <v>488744.536974914</v>
      </c>
      <c r="O21" s="38" t="n">
        <f aca="false">O20*(1+Inputs!$B$23)+MAX(-M21,0)</f>
        <v>0</v>
      </c>
      <c r="P21" s="38" t="n">
        <f aca="false">B21*(1-Inputs!$B$14)-C21</f>
        <v>430224.30386734</v>
      </c>
      <c r="Q21" s="38" t="n">
        <f aca="false">P21+O21</f>
        <v>430224.30386734</v>
      </c>
      <c r="R21" s="38" t="n">
        <f aca="false">N21</f>
        <v>488744.536974914</v>
      </c>
      <c r="S21" s="38" t="n">
        <f aca="false">Q21-R21</f>
        <v>-58520.2331075739</v>
      </c>
      <c r="T21" s="37" t="str">
        <f aca="false">IF(T20&lt;&gt;"",T20,IF(S21&gt;=0,A21,""))</f>
        <v/>
      </c>
    </row>
    <row r="22" customFormat="false" ht="15" hidden="false" customHeight="true" outlineLevel="0" collapsed="false">
      <c r="A22" s="37" t="n">
        <v>18</v>
      </c>
      <c r="B22" s="38" t="n">
        <f aca="false">B21*(1+Inputs!$B$13)</f>
        <v>730514.026578043</v>
      </c>
      <c r="C22" s="38" t="n">
        <f aca="false">IF(A22&gt;=Inputs!$B$7,0,ROUND(-FV(Inputs!$B$6/12,A22*12,-$D$2/12,$B$2),2))</f>
        <v>225113.83</v>
      </c>
      <c r="D22" s="38" t="n">
        <f aca="false">IF(A22&gt;Inputs!$B$7,0,$D$2)</f>
        <v>28185.1670698949</v>
      </c>
      <c r="E22" s="38" t="n">
        <f aca="false">B21*Inputs!$B$9</f>
        <v>7801.60610908589</v>
      </c>
      <c r="F22" s="38" t="n">
        <f aca="false">Inputs!$B$10*(1+Inputs!$B$15)^(A22-1)</f>
        <v>3636.26479099785</v>
      </c>
      <c r="G22" s="38" t="n">
        <f aca="false">Inputs!$B$11*12*(1+Inputs!$B$15)^(A22-1)</f>
        <v>0</v>
      </c>
      <c r="H22" s="38" t="n">
        <f aca="false">B21*Inputs!$B$12</f>
        <v>7092.36919007809</v>
      </c>
      <c r="I22" s="38" t="n">
        <f aca="false">SUM(D22:H22)</f>
        <v>46715.4071600567</v>
      </c>
      <c r="J22" s="38" t="n">
        <f aca="false">Inputs!$B$18*12*(1+Inputs!$B$19)^(A22-1)</f>
        <v>45400.4187632405</v>
      </c>
      <c r="K22" s="38" t="n">
        <f aca="false">Inputs!$B$20*(1+Inputs!$B$15)^(A22-1)</f>
        <v>413.211908067938</v>
      </c>
      <c r="L22" s="38" t="n">
        <f aca="false">J22+K22</f>
        <v>45813.6306713084</v>
      </c>
      <c r="M22" s="38" t="n">
        <f aca="false">I22-L22</f>
        <v>901.776488748314</v>
      </c>
      <c r="N22" s="38" t="n">
        <f aca="false">N21*(1+Inputs!$B$23)+MAX(M22,0)</f>
        <v>518970.985682157</v>
      </c>
      <c r="O22" s="38" t="n">
        <f aca="false">O21*(1+Inputs!$B$23)+MAX(-M22,0)</f>
        <v>0</v>
      </c>
      <c r="P22" s="38" t="n">
        <f aca="false">B22*(1-Inputs!$B$14)-C22</f>
        <v>461569.35498336</v>
      </c>
      <c r="Q22" s="38" t="n">
        <f aca="false">P22+O22</f>
        <v>461569.35498336</v>
      </c>
      <c r="R22" s="38" t="n">
        <f aca="false">N22</f>
        <v>518970.985682157</v>
      </c>
      <c r="S22" s="38" t="n">
        <f aca="false">Q22-R22</f>
        <v>-57401.6306987969</v>
      </c>
      <c r="T22" s="37" t="str">
        <f aca="false">IF(T21&lt;&gt;"",T21,IF(S22&gt;=0,A22,""))</f>
        <v/>
      </c>
    </row>
    <row r="23" customFormat="false" ht="15" hidden="false" customHeight="true" outlineLevel="0" collapsed="false">
      <c r="A23" s="37" t="n">
        <v>19</v>
      </c>
      <c r="B23" s="38" t="n">
        <f aca="false">B22*(1+Inputs!$B$13)</f>
        <v>752429.447375384</v>
      </c>
      <c r="C23" s="38" t="n">
        <f aca="false">IF(A23&gt;=Inputs!$B$7,0,ROUND(-FV(Inputs!$B$6/12,A23*12,-$D$2/12,$B$2),2))</f>
        <v>212915.26</v>
      </c>
      <c r="D23" s="38" t="n">
        <f aca="false">IF(A23&gt;Inputs!$B$7,0,$D$2)</f>
        <v>28185.1670698949</v>
      </c>
      <c r="E23" s="38" t="n">
        <f aca="false">B22*Inputs!$B$9</f>
        <v>8035.65429235847</v>
      </c>
      <c r="F23" s="38" t="n">
        <f aca="false">Inputs!$B$10*(1+Inputs!$B$15)^(A23-1)</f>
        <v>3745.35273472779</v>
      </c>
      <c r="G23" s="38" t="n">
        <f aca="false">Inputs!$B$11*12*(1+Inputs!$B$15)^(A23-1)</f>
        <v>0</v>
      </c>
      <c r="H23" s="38" t="n">
        <f aca="false">B22*Inputs!$B$12</f>
        <v>7305.14026578043</v>
      </c>
      <c r="I23" s="38" t="n">
        <f aca="false">SUM(D23:H23)</f>
        <v>47271.3143627616</v>
      </c>
      <c r="J23" s="38" t="n">
        <f aca="false">Inputs!$B$18*12*(1+Inputs!$B$19)^(A23-1)</f>
        <v>46762.4313261377</v>
      </c>
      <c r="K23" s="38" t="n">
        <f aca="false">Inputs!$B$20*(1+Inputs!$B$15)^(A23-1)</f>
        <v>425.608265309976</v>
      </c>
      <c r="L23" s="38" t="n">
        <f aca="false">J23+K23</f>
        <v>47188.0395914477</v>
      </c>
      <c r="M23" s="38" t="n">
        <f aca="false">I23-L23</f>
        <v>83.2747713139252</v>
      </c>
      <c r="N23" s="38" t="n">
        <f aca="false">N22*(1+Inputs!$B$23)+MAX(M23,0)</f>
        <v>550192.5195944</v>
      </c>
      <c r="O23" s="38" t="n">
        <f aca="false">O22*(1+Inputs!$B$23)+MAX(-M23,0)</f>
        <v>0</v>
      </c>
      <c r="P23" s="38" t="n">
        <f aca="false">B23*(1-Inputs!$B$14)-C23</f>
        <v>494368.420532861</v>
      </c>
      <c r="Q23" s="38" t="n">
        <f aca="false">P23+O23</f>
        <v>494368.420532861</v>
      </c>
      <c r="R23" s="38" t="n">
        <f aca="false">N23</f>
        <v>550192.5195944</v>
      </c>
      <c r="S23" s="38" t="n">
        <f aca="false">Q23-R23</f>
        <v>-55824.0990615395</v>
      </c>
      <c r="T23" s="37" t="str">
        <f aca="false">IF(T22&lt;&gt;"",T22,IF(S23&gt;=0,A23,""))</f>
        <v/>
      </c>
    </row>
    <row r="24" customFormat="false" ht="15" hidden="false" customHeight="true" outlineLevel="0" collapsed="false">
      <c r="A24" s="37" t="n">
        <v>20</v>
      </c>
      <c r="B24" s="38" t="n">
        <f aca="false">B23*(1+Inputs!$B$13)</f>
        <v>775002.330796646</v>
      </c>
      <c r="C24" s="38" t="n">
        <f aca="false">IF(A24&gt;=Inputs!$B$7,0,ROUND(-FV(Inputs!$B$6/12,A24*12,-$D$2/12,$B$2),2))</f>
        <v>199798.39</v>
      </c>
      <c r="D24" s="38" t="n">
        <f aca="false">IF(A24&gt;Inputs!$B$7,0,$D$2)</f>
        <v>28185.1670698949</v>
      </c>
      <c r="E24" s="38" t="n">
        <f aca="false">B23*Inputs!$B$9</f>
        <v>8276.72392112922</v>
      </c>
      <c r="F24" s="38" t="n">
        <f aca="false">Inputs!$B$10*(1+Inputs!$B$15)^(A24-1)</f>
        <v>3857.71331676962</v>
      </c>
      <c r="G24" s="38" t="n">
        <f aca="false">Inputs!$B$11*12*(1+Inputs!$B$15)^(A24-1)</f>
        <v>0</v>
      </c>
      <c r="H24" s="38" t="n">
        <f aca="false">B23*Inputs!$B$12</f>
        <v>7524.29447375384</v>
      </c>
      <c r="I24" s="38" t="n">
        <f aca="false">SUM(D24:H24)</f>
        <v>47843.8987815476</v>
      </c>
      <c r="J24" s="38" t="n">
        <f aca="false">Inputs!$B$18*12*(1+Inputs!$B$19)^(A24-1)</f>
        <v>48165.3042659218</v>
      </c>
      <c r="K24" s="38" t="n">
        <f aca="false">Inputs!$B$20*(1+Inputs!$B$15)^(A24-1)</f>
        <v>438.376513269275</v>
      </c>
      <c r="L24" s="38" t="n">
        <f aca="false">J24+K24</f>
        <v>48603.6807791911</v>
      </c>
      <c r="M24" s="38" t="n">
        <f aca="false">I24-L24</f>
        <v>-759.781997643513</v>
      </c>
      <c r="N24" s="38" t="n">
        <f aca="false">N23*(1+Inputs!$B$23)+MAX(M24,0)</f>
        <v>583204.070770065</v>
      </c>
      <c r="O24" s="38" t="n">
        <f aca="false">O23*(1+Inputs!$B$23)+MAX(-M24,0)</f>
        <v>759.781997643513</v>
      </c>
      <c r="P24" s="38" t="n">
        <f aca="false">B24*(1-Inputs!$B$14)-C24</f>
        <v>528703.800948847</v>
      </c>
      <c r="Q24" s="38" t="n">
        <f aca="false">P24+O24</f>
        <v>529463.58294649</v>
      </c>
      <c r="R24" s="38" t="n">
        <f aca="false">N24</f>
        <v>583204.070770065</v>
      </c>
      <c r="S24" s="38" t="n">
        <f aca="false">Q24-R24</f>
        <v>-53740.4878235741</v>
      </c>
      <c r="T24" s="37" t="str">
        <f aca="false">IF(T23&lt;&gt;"",T23,IF(S24&gt;=0,A24,""))</f>
        <v/>
      </c>
    </row>
    <row r="25" customFormat="false" ht="15" hidden="false" customHeight="true" outlineLevel="0" collapsed="false">
      <c r="A25" s="37" t="n">
        <v>21</v>
      </c>
      <c r="B25" s="38" t="n">
        <f aca="false">B24*(1+Inputs!$B$13)</f>
        <v>798252.400720545</v>
      </c>
      <c r="C25" s="38" t="n">
        <f aca="false">IF(A25&gt;=Inputs!$B$7,0,ROUND(-FV(Inputs!$B$6/12,A25*12,-$D$2/12,$B$2),2))</f>
        <v>185694.1</v>
      </c>
      <c r="D25" s="38" t="n">
        <f aca="false">IF(A25&gt;Inputs!$B$7,0,$D$2)</f>
        <v>28185.1670698949</v>
      </c>
      <c r="E25" s="38" t="n">
        <f aca="false">B24*Inputs!$B$9</f>
        <v>8525.0256387631</v>
      </c>
      <c r="F25" s="38" t="n">
        <f aca="false">Inputs!$B$10*(1+Inputs!$B$15)^(A25-1)</f>
        <v>3973.44471627271</v>
      </c>
      <c r="G25" s="38" t="n">
        <f aca="false">Inputs!$B$11*12*(1+Inputs!$B$15)^(A25-1)</f>
        <v>0</v>
      </c>
      <c r="H25" s="38" t="n">
        <f aca="false">B24*Inputs!$B$12</f>
        <v>7750.02330796646</v>
      </c>
      <c r="I25" s="38" t="n">
        <f aca="false">SUM(D25:H25)</f>
        <v>48433.6607328972</v>
      </c>
      <c r="J25" s="38" t="n">
        <f aca="false">Inputs!$B$18*12*(1+Inputs!$B$19)^(A25-1)</f>
        <v>49610.2633938995</v>
      </c>
      <c r="K25" s="38" t="n">
        <f aca="false">Inputs!$B$20*(1+Inputs!$B$15)^(A25-1)</f>
        <v>451.527808667354</v>
      </c>
      <c r="L25" s="38" t="n">
        <f aca="false">J25+K25</f>
        <v>50061.7912025668</v>
      </c>
      <c r="M25" s="38" t="n">
        <f aca="false">I25-L25</f>
        <v>-1628.13046966967</v>
      </c>
      <c r="N25" s="38" t="n">
        <f aca="false">N24*(1+Inputs!$B$23)+MAX(M25,0)</f>
        <v>618196.315016268</v>
      </c>
      <c r="O25" s="38" t="n">
        <f aca="false">O24*(1+Inputs!$B$23)+MAX(-M25,0)</f>
        <v>2433.49938717179</v>
      </c>
      <c r="P25" s="38" t="n">
        <f aca="false">B25*(1-Inputs!$B$14)-C25</f>
        <v>564663.156677312</v>
      </c>
      <c r="Q25" s="38" t="n">
        <f aca="false">P25+O25</f>
        <v>567096.656064484</v>
      </c>
      <c r="R25" s="38" t="n">
        <f aca="false">N25</f>
        <v>618196.315016268</v>
      </c>
      <c r="S25" s="38" t="n">
        <f aca="false">Q25-R25</f>
        <v>-51099.6589517844</v>
      </c>
      <c r="T25" s="37" t="str">
        <f aca="false">IF(T24&lt;&gt;"",T24,IF(S25&gt;=0,A25,""))</f>
        <v/>
      </c>
    </row>
    <row r="26" customFormat="false" ht="15" hidden="false" customHeight="true" outlineLevel="0" collapsed="false">
      <c r="A26" s="37" t="n">
        <v>22</v>
      </c>
      <c r="B26" s="38" t="n">
        <f aca="false">B25*(1+Inputs!$B$13)</f>
        <v>822199.972742161</v>
      </c>
      <c r="C26" s="38" t="n">
        <f aca="false">IF(A26&gt;=Inputs!$B$7,0,ROUND(-FV(Inputs!$B$6/12,A26*12,-$D$2/12,$B$2),2))</f>
        <v>170528.06</v>
      </c>
      <c r="D26" s="38" t="n">
        <f aca="false">IF(A26&gt;Inputs!$B$7,0,$D$2)</f>
        <v>28185.1670698949</v>
      </c>
      <c r="E26" s="38" t="n">
        <f aca="false">B25*Inputs!$B$9</f>
        <v>8780.77640792599</v>
      </c>
      <c r="F26" s="38" t="n">
        <f aca="false">Inputs!$B$10*(1+Inputs!$B$15)^(A26-1)</f>
        <v>4092.64805776089</v>
      </c>
      <c r="G26" s="38" t="n">
        <f aca="false">Inputs!$B$11*12*(1+Inputs!$B$15)^(A26-1)</f>
        <v>0</v>
      </c>
      <c r="H26" s="38" t="n">
        <f aca="false">B25*Inputs!$B$12</f>
        <v>7982.52400720545</v>
      </c>
      <c r="I26" s="38" t="n">
        <f aca="false">SUM(D26:H26)</f>
        <v>49041.1155427872</v>
      </c>
      <c r="J26" s="38" t="n">
        <f aca="false">Inputs!$B$18*12*(1+Inputs!$B$19)^(A26-1)</f>
        <v>51098.5712957165</v>
      </c>
      <c r="K26" s="38" t="n">
        <f aca="false">Inputs!$B$20*(1+Inputs!$B$15)^(A26-1)</f>
        <v>465.073642927374</v>
      </c>
      <c r="L26" s="38" t="n">
        <f aca="false">J26+K26</f>
        <v>51563.6449386439</v>
      </c>
      <c r="M26" s="38" t="n">
        <f aca="false">I26-L26</f>
        <v>-2522.5293958566</v>
      </c>
      <c r="N26" s="38" t="n">
        <f aca="false">N25*(1+Inputs!$B$23)+MAX(M26,0)</f>
        <v>655288.093917245</v>
      </c>
      <c r="O26" s="38" t="n">
        <f aca="false">O25*(1+Inputs!$B$23)+MAX(-M26,0)</f>
        <v>5102.0387462587</v>
      </c>
      <c r="P26" s="38" t="n">
        <f aca="false">B26*(1-Inputs!$B$14)-C26</f>
        <v>602339.914377632</v>
      </c>
      <c r="Q26" s="38" t="n">
        <f aca="false">P26+O26</f>
        <v>607441.95312389</v>
      </c>
      <c r="R26" s="38" t="n">
        <f aca="false">N26</f>
        <v>655288.093917245</v>
      </c>
      <c r="S26" s="38" t="n">
        <f aca="false">Q26-R26</f>
        <v>-47846.1407933543</v>
      </c>
      <c r="T26" s="37" t="str">
        <f aca="false">IF(T25&lt;&gt;"",T25,IF(S26&gt;=0,A26,""))</f>
        <v/>
      </c>
    </row>
    <row r="27" customFormat="false" ht="15" hidden="false" customHeight="true" outlineLevel="0" collapsed="false">
      <c r="A27" s="37" t="n">
        <v>23</v>
      </c>
      <c r="B27" s="38" t="n">
        <f aca="false">B26*(1+Inputs!$B$13)</f>
        <v>846865.971924426</v>
      </c>
      <c r="C27" s="38" t="n">
        <f aca="false">IF(A27&gt;=Inputs!$B$7,0,ROUND(-FV(Inputs!$B$6/12,A27*12,-$D$2/12,$B$2),2))</f>
        <v>154220.33</v>
      </c>
      <c r="D27" s="38" t="n">
        <f aca="false">IF(A27&gt;Inputs!$B$7,0,$D$2)</f>
        <v>28185.1670698949</v>
      </c>
      <c r="E27" s="38" t="n">
        <f aca="false">B26*Inputs!$B$9</f>
        <v>9044.19970016377</v>
      </c>
      <c r="F27" s="38" t="n">
        <f aca="false">Inputs!$B$10*(1+Inputs!$B$15)^(A27-1)</f>
        <v>4215.42749949372</v>
      </c>
      <c r="G27" s="38" t="n">
        <f aca="false">Inputs!$B$11*12*(1+Inputs!$B$15)^(A27-1)</f>
        <v>0</v>
      </c>
      <c r="H27" s="38" t="n">
        <f aca="false">B26*Inputs!$B$12</f>
        <v>8221.99972742161</v>
      </c>
      <c r="I27" s="38" t="n">
        <f aca="false">SUM(D27:H27)</f>
        <v>49666.793996974</v>
      </c>
      <c r="J27" s="38" t="n">
        <f aca="false">Inputs!$B$18*12*(1+Inputs!$B$19)^(A27-1)</f>
        <v>52631.528434588</v>
      </c>
      <c r="K27" s="38" t="n">
        <f aca="false">Inputs!$B$20*(1+Inputs!$B$15)^(A27-1)</f>
        <v>479.025852215196</v>
      </c>
      <c r="L27" s="38" t="n">
        <f aca="false">J27+K27</f>
        <v>53110.5542868032</v>
      </c>
      <c r="M27" s="38" t="n">
        <f aca="false">I27-L27</f>
        <v>-3443.76028982914</v>
      </c>
      <c r="N27" s="38" t="n">
        <f aca="false">N26*(1+Inputs!$B$23)+MAX(M27,0)</f>
        <v>694605.379552279</v>
      </c>
      <c r="O27" s="38" t="n">
        <f aca="false">O26*(1+Inputs!$B$23)+MAX(-M27,0)</f>
        <v>8851.92136086337</v>
      </c>
      <c r="P27" s="38" t="n">
        <f aca="false">B27*(1-Inputs!$B$14)-C27</f>
        <v>641833.683608961</v>
      </c>
      <c r="Q27" s="38" t="n">
        <f aca="false">P27+O27</f>
        <v>650685.604969824</v>
      </c>
      <c r="R27" s="38" t="n">
        <f aca="false">N27</f>
        <v>694605.379552279</v>
      </c>
      <c r="S27" s="38" t="n">
        <f aca="false">Q27-R27</f>
        <v>-43919.7745824552</v>
      </c>
      <c r="T27" s="37" t="str">
        <f aca="false">IF(T26&lt;&gt;"",T26,IF(S27&gt;=0,A27,""))</f>
        <v/>
      </c>
    </row>
    <row r="28" customFormat="false" ht="15" hidden="false" customHeight="true" outlineLevel="0" collapsed="false">
      <c r="A28" s="37" t="n">
        <v>24</v>
      </c>
      <c r="B28" s="38" t="n">
        <f aca="false">B27*(1+Inputs!$B$13)</f>
        <v>872271.951082159</v>
      </c>
      <c r="C28" s="38" t="n">
        <f aca="false">IF(A28&gt;=Inputs!$B$7,0,ROUND(-FV(Inputs!$B$6/12,A28*12,-$D$2/12,$B$2),2))</f>
        <v>136684.97</v>
      </c>
      <c r="D28" s="38" t="n">
        <f aca="false">IF(A28&gt;Inputs!$B$7,0,$D$2)</f>
        <v>28185.1670698949</v>
      </c>
      <c r="E28" s="38" t="n">
        <f aca="false">B27*Inputs!$B$9</f>
        <v>9315.52569116869</v>
      </c>
      <c r="F28" s="38" t="n">
        <f aca="false">Inputs!$B$10*(1+Inputs!$B$15)^(A28-1)</f>
        <v>4341.89032447853</v>
      </c>
      <c r="G28" s="38" t="n">
        <f aca="false">Inputs!$B$11*12*(1+Inputs!$B$15)^(A28-1)</f>
        <v>0</v>
      </c>
      <c r="H28" s="38" t="n">
        <f aca="false">B27*Inputs!$B$12</f>
        <v>8468.65971924426</v>
      </c>
      <c r="I28" s="38" t="n">
        <f aca="false">SUM(D28:H28)</f>
        <v>50311.2428047864</v>
      </c>
      <c r="J28" s="38" t="n">
        <f aca="false">Inputs!$B$18*12*(1+Inputs!$B$19)^(A28-1)</f>
        <v>54210.4742876256</v>
      </c>
      <c r="K28" s="38" t="n">
        <f aca="false">Inputs!$B$20*(1+Inputs!$B$15)^(A28-1)</f>
        <v>493.396627781651</v>
      </c>
      <c r="L28" s="38" t="n">
        <f aca="false">J28+K28</f>
        <v>54703.8709154073</v>
      </c>
      <c r="M28" s="38" t="n">
        <f aca="false">I28-L28</f>
        <v>-4392.62811062087</v>
      </c>
      <c r="N28" s="38" t="n">
        <f aca="false">N27*(1+Inputs!$B$23)+MAX(M28,0)</f>
        <v>736281.702325416</v>
      </c>
      <c r="O28" s="38" t="n">
        <f aca="false">O27*(1+Inputs!$B$23)+MAX(-M28,0)</f>
        <v>13775.664753136</v>
      </c>
      <c r="P28" s="38" t="n">
        <f aca="false">B28*(1-Inputs!$B$14)-C28</f>
        <v>683250.66401723</v>
      </c>
      <c r="Q28" s="38" t="n">
        <f aca="false">P28+O28</f>
        <v>697026.328770365</v>
      </c>
      <c r="R28" s="38" t="n">
        <f aca="false">N28</f>
        <v>736281.702325416</v>
      </c>
      <c r="S28" s="38" t="n">
        <f aca="false">Q28-R28</f>
        <v>-39255.3735550506</v>
      </c>
      <c r="T28" s="37" t="str">
        <f aca="false">IF(T27&lt;&gt;"",T27,IF(S28&gt;=0,A28,""))</f>
        <v/>
      </c>
    </row>
    <row r="29" customFormat="false" ht="15" hidden="false" customHeight="true" outlineLevel="0" collapsed="false">
      <c r="A29" s="37" t="n">
        <v>25</v>
      </c>
      <c r="B29" s="38" t="n">
        <f aca="false">B28*(1+Inputs!$B$13)</f>
        <v>898440.109614624</v>
      </c>
      <c r="C29" s="38" t="n">
        <f aca="false">IF(A29&gt;=Inputs!$B$7,0,ROUND(-FV(Inputs!$B$6/12,A29*12,-$D$2/12,$B$2),2))</f>
        <v>117829.57</v>
      </c>
      <c r="D29" s="38" t="n">
        <f aca="false">IF(A29&gt;Inputs!$B$7,0,$D$2)</f>
        <v>28185.1670698949</v>
      </c>
      <c r="E29" s="38" t="n">
        <f aca="false">B28*Inputs!$B$9</f>
        <v>9594.99146190375</v>
      </c>
      <c r="F29" s="38" t="n">
        <f aca="false">Inputs!$B$10*(1+Inputs!$B$15)^(A29-1)</f>
        <v>4472.14703421289</v>
      </c>
      <c r="G29" s="38" t="n">
        <f aca="false">Inputs!$B$11*12*(1+Inputs!$B$15)^(A29-1)</f>
        <v>0</v>
      </c>
      <c r="H29" s="38" t="n">
        <f aca="false">B28*Inputs!$B$12</f>
        <v>8722.71951082159</v>
      </c>
      <c r="I29" s="38" t="n">
        <f aca="false">SUM(D29:H29)</f>
        <v>50975.0250768331</v>
      </c>
      <c r="J29" s="38" t="n">
        <f aca="false">Inputs!$B$18*12*(1+Inputs!$B$19)^(A29-1)</f>
        <v>55836.7885162544</v>
      </c>
      <c r="K29" s="38" t="n">
        <f aca="false">Inputs!$B$20*(1+Inputs!$B$15)^(A29-1)</f>
        <v>508.198526615101</v>
      </c>
      <c r="L29" s="38" t="n">
        <f aca="false">J29+K29</f>
        <v>56344.9870428695</v>
      </c>
      <c r="M29" s="38" t="n">
        <f aca="false">I29-L29</f>
        <v>-5369.96196603635</v>
      </c>
      <c r="N29" s="38" t="n">
        <f aca="false">N28*(1+Inputs!$B$23)+MAX(M29,0)</f>
        <v>780458.604464941</v>
      </c>
      <c r="O29" s="38" t="n">
        <f aca="false">O28*(1+Inputs!$B$23)+MAX(-M29,0)</f>
        <v>19972.1666043606</v>
      </c>
      <c r="P29" s="38" t="n">
        <f aca="false">B29*(1-Inputs!$B$14)-C29</f>
        <v>726704.133037746</v>
      </c>
      <c r="Q29" s="38" t="n">
        <f aca="false">P29+O29</f>
        <v>746676.299642107</v>
      </c>
      <c r="R29" s="38" t="n">
        <f aca="false">N29</f>
        <v>780458.604464941</v>
      </c>
      <c r="S29" s="38" t="n">
        <f aca="false">Q29-R29</f>
        <v>-33782.3048228341</v>
      </c>
      <c r="T29" s="37" t="str">
        <f aca="false">IF(T28&lt;&gt;"",T28,IF(S29&gt;=0,A29,""))</f>
        <v/>
      </c>
    </row>
    <row r="30" customFormat="false" ht="15" hidden="false" customHeight="true" outlineLevel="0" collapsed="false">
      <c r="A30" s="37" t="n">
        <v>26</v>
      </c>
      <c r="B30" s="38" t="n">
        <f aca="false">B29*(1+Inputs!$B$13)</f>
        <v>925393.312903063</v>
      </c>
      <c r="C30" s="38" t="n">
        <f aca="false">IF(A30&gt;=Inputs!$B$7,0,ROUND(-FV(Inputs!$B$6/12,A30*12,-$D$2/12,$B$2),2))</f>
        <v>97554.76</v>
      </c>
      <c r="D30" s="38" t="n">
        <f aca="false">IF(A30&gt;Inputs!$B$7,0,$D$2)</f>
        <v>28185.1670698949</v>
      </c>
      <c r="E30" s="38" t="n">
        <f aca="false">B29*Inputs!$B$9</f>
        <v>9882.84120576086</v>
      </c>
      <c r="F30" s="38" t="n">
        <f aca="false">Inputs!$B$10*(1+Inputs!$B$15)^(A30-1)</f>
        <v>4606.31144523928</v>
      </c>
      <c r="G30" s="38" t="n">
        <f aca="false">Inputs!$B$11*12*(1+Inputs!$B$15)^(A30-1)</f>
        <v>0</v>
      </c>
      <c r="H30" s="38" t="n">
        <f aca="false">B29*Inputs!$B$12</f>
        <v>8984.40109614624</v>
      </c>
      <c r="I30" s="38" t="n">
        <f aca="false">SUM(D30:H30)</f>
        <v>51658.7208170413</v>
      </c>
      <c r="J30" s="38" t="n">
        <f aca="false">Inputs!$B$18*12*(1+Inputs!$B$19)^(A30-1)</f>
        <v>57511.892171742</v>
      </c>
      <c r="K30" s="38" t="n">
        <f aca="false">Inputs!$B$20*(1+Inputs!$B$15)^(A30-1)</f>
        <v>523.444482413554</v>
      </c>
      <c r="L30" s="38" t="n">
        <f aca="false">J30+K30</f>
        <v>58035.3366541556</v>
      </c>
      <c r="M30" s="38" t="n">
        <f aca="false">I30-L30</f>
        <v>-6376.61583711429</v>
      </c>
      <c r="N30" s="38" t="n">
        <f aca="false">N29*(1+Inputs!$B$23)+MAX(M30,0)</f>
        <v>827286.120732838</v>
      </c>
      <c r="O30" s="38" t="n">
        <f aca="false">O29*(1+Inputs!$B$23)+MAX(-M30,0)</f>
        <v>27547.1124377365</v>
      </c>
      <c r="P30" s="38" t="n">
        <f aca="false">B30*(1-Inputs!$B$14)-C30</f>
        <v>772314.954128879</v>
      </c>
      <c r="Q30" s="38" t="n">
        <f aca="false">P30+O30</f>
        <v>799862.066566615</v>
      </c>
      <c r="R30" s="38" t="n">
        <f aca="false">N30</f>
        <v>827286.120732838</v>
      </c>
      <c r="S30" s="38" t="n">
        <f aca="false">Q30-R30</f>
        <v>-27424.0541662223</v>
      </c>
      <c r="T30" s="37" t="str">
        <f aca="false">IF(T29&lt;&gt;"",T29,IF(S30&gt;=0,A30,""))</f>
        <v/>
      </c>
    </row>
    <row r="31" customFormat="false" ht="15" hidden="false" customHeight="true" outlineLevel="0" collapsed="false">
      <c r="A31" s="37" t="n">
        <v>27</v>
      </c>
      <c r="B31" s="38" t="n">
        <f aca="false">B30*(1+Inputs!$B$13)</f>
        <v>953155.112290154</v>
      </c>
      <c r="C31" s="38" t="n">
        <f aca="false">IF(A31&gt;=Inputs!$B$7,0,ROUND(-FV(Inputs!$B$6/12,A31*12,-$D$2/12,$B$2),2))</f>
        <v>75753.68</v>
      </c>
      <c r="D31" s="38" t="n">
        <f aca="false">IF(A31&gt;Inputs!$B$7,0,$D$2)</f>
        <v>28185.1670698949</v>
      </c>
      <c r="E31" s="38" t="n">
        <f aca="false">B30*Inputs!$B$9</f>
        <v>10179.3264419337</v>
      </c>
      <c r="F31" s="38" t="n">
        <f aca="false">Inputs!$B$10*(1+Inputs!$B$15)^(A31-1)</f>
        <v>4744.50078859645</v>
      </c>
      <c r="G31" s="38" t="n">
        <f aca="false">Inputs!$B$11*12*(1+Inputs!$B$15)^(A31-1)</f>
        <v>0</v>
      </c>
      <c r="H31" s="38" t="n">
        <f aca="false">B30*Inputs!$B$12</f>
        <v>9253.93312903063</v>
      </c>
      <c r="I31" s="38" t="n">
        <f aca="false">SUM(D31:H31)</f>
        <v>52362.9274294557</v>
      </c>
      <c r="J31" s="38" t="n">
        <f aca="false">Inputs!$B$18*12*(1+Inputs!$B$19)^(A31-1)</f>
        <v>59237.2489368943</v>
      </c>
      <c r="K31" s="38" t="n">
        <f aca="false">Inputs!$B$20*(1+Inputs!$B$15)^(A31-1)</f>
        <v>539.147816885961</v>
      </c>
      <c r="L31" s="38" t="n">
        <f aca="false">J31+K31</f>
        <v>59776.3967537802</v>
      </c>
      <c r="M31" s="38" t="n">
        <f aca="false">I31-L31</f>
        <v>-7413.46932432457</v>
      </c>
      <c r="N31" s="38" t="n">
        <f aca="false">N30*(1+Inputs!$B$23)+MAX(M31,0)</f>
        <v>876923.287976808</v>
      </c>
      <c r="O31" s="38" t="n">
        <f aca="false">O30*(1+Inputs!$B$23)+MAX(-M31,0)</f>
        <v>36613.4085083252</v>
      </c>
      <c r="P31" s="38" t="n">
        <f aca="false">B31*(1-Inputs!$B$14)-C31</f>
        <v>820212.125552745</v>
      </c>
      <c r="Q31" s="38" t="n">
        <f aca="false">P31+O31</f>
        <v>856825.53406107</v>
      </c>
      <c r="R31" s="38" t="n">
        <f aca="false">N31</f>
        <v>876923.287976808</v>
      </c>
      <c r="S31" s="38" t="n">
        <f aca="false">Q31-R31</f>
        <v>-20097.7539157376</v>
      </c>
      <c r="T31" s="37" t="str">
        <f aca="false">IF(T30&lt;&gt;"",T30,IF(S31&gt;=0,A31,""))</f>
        <v/>
      </c>
    </row>
    <row r="32" customFormat="false" ht="15" hidden="false" customHeight="true" outlineLevel="0" collapsed="false">
      <c r="A32" s="37" t="n">
        <v>28</v>
      </c>
      <c r="B32" s="38" t="n">
        <f aca="false">B31*(1+Inputs!$B$13)</f>
        <v>981749.765658859</v>
      </c>
      <c r="C32" s="38" t="n">
        <f aca="false">IF(A32&gt;=Inputs!$B$7,0,ROUND(-FV(Inputs!$B$6/12,A32*12,-$D$2/12,$B$2),2))</f>
        <v>52311.44</v>
      </c>
      <c r="D32" s="38" t="n">
        <f aca="false">IF(A32&gt;Inputs!$B$7,0,$D$2)</f>
        <v>28185.1670698949</v>
      </c>
      <c r="E32" s="38" t="n">
        <f aca="false">B31*Inputs!$B$9</f>
        <v>10484.7062351917</v>
      </c>
      <c r="F32" s="38" t="n">
        <f aca="false">Inputs!$B$10*(1+Inputs!$B$15)^(A32-1)</f>
        <v>4886.83581225435</v>
      </c>
      <c r="G32" s="38" t="n">
        <f aca="false">Inputs!$B$11*12*(1+Inputs!$B$15)^(A32-1)</f>
        <v>0</v>
      </c>
      <c r="H32" s="38" t="n">
        <f aca="false">B31*Inputs!$B$12</f>
        <v>9531.55112290155</v>
      </c>
      <c r="I32" s="38" t="n">
        <f aca="false">SUM(D32:H32)</f>
        <v>53088.2602402425</v>
      </c>
      <c r="J32" s="38" t="n">
        <f aca="false">Inputs!$B$18*12*(1+Inputs!$B$19)^(A32-1)</f>
        <v>61014.3664050011</v>
      </c>
      <c r="K32" s="38" t="n">
        <f aca="false">Inputs!$B$20*(1+Inputs!$B$15)^(A32-1)</f>
        <v>555.32225139254</v>
      </c>
      <c r="L32" s="38" t="n">
        <f aca="false">J32+K32</f>
        <v>61569.6886563937</v>
      </c>
      <c r="M32" s="38" t="n">
        <f aca="false">I32-L32</f>
        <v>-8481.42841615115</v>
      </c>
      <c r="N32" s="38" t="n">
        <f aca="false">N31*(1+Inputs!$B$23)+MAX(M32,0)</f>
        <v>929538.685255416</v>
      </c>
      <c r="O32" s="38" t="n">
        <f aca="false">O31*(1+Inputs!$B$23)+MAX(-M32,0)</f>
        <v>47291.6414349759</v>
      </c>
      <c r="P32" s="38" t="n">
        <f aca="false">B32*(1-Inputs!$B$14)-C32</f>
        <v>870533.339719327</v>
      </c>
      <c r="Q32" s="38" t="n">
        <f aca="false">P32+O32</f>
        <v>917824.981154303</v>
      </c>
      <c r="R32" s="38" t="n">
        <f aca="false">N32</f>
        <v>929538.685255416</v>
      </c>
      <c r="S32" s="38" t="n">
        <f aca="false">Q32-R32</f>
        <v>-11713.7041011131</v>
      </c>
      <c r="T32" s="37" t="str">
        <f aca="false">IF(T31&lt;&gt;"",T31,IF(S32&gt;=0,A32,""))</f>
        <v/>
      </c>
    </row>
    <row r="33" customFormat="false" ht="15" hidden="false" customHeight="true" outlineLevel="0" collapsed="false">
      <c r="A33" s="37" t="n">
        <v>29</v>
      </c>
      <c r="B33" s="38" t="n">
        <f aca="false">B32*(1+Inputs!$B$13)</f>
        <v>1011202.25862862</v>
      </c>
      <c r="C33" s="38" t="n">
        <f aca="false">IF(A33&gt;=Inputs!$B$7,0,ROUND(-FV(Inputs!$B$6/12,A33*12,-$D$2/12,$B$2),2))</f>
        <v>27104.5</v>
      </c>
      <c r="D33" s="38" t="n">
        <f aca="false">IF(A33&gt;Inputs!$B$7,0,$D$2)</f>
        <v>28185.1670698949</v>
      </c>
      <c r="E33" s="38" t="n">
        <f aca="false">B32*Inputs!$B$9</f>
        <v>10799.2474222474</v>
      </c>
      <c r="F33" s="38" t="n">
        <f aca="false">Inputs!$B$10*(1+Inputs!$B$15)^(A33-1)</f>
        <v>5033.44088662198</v>
      </c>
      <c r="G33" s="38" t="n">
        <f aca="false">Inputs!$B$11*12*(1+Inputs!$B$15)^(A33-1)</f>
        <v>0</v>
      </c>
      <c r="H33" s="38" t="n">
        <f aca="false">B32*Inputs!$B$12</f>
        <v>9817.49765658859</v>
      </c>
      <c r="I33" s="38" t="n">
        <f aca="false">SUM(D33:H33)</f>
        <v>53835.3530353529</v>
      </c>
      <c r="J33" s="38" t="n">
        <f aca="false">Inputs!$B$18*12*(1+Inputs!$B$19)^(A33-1)</f>
        <v>62844.7973971511</v>
      </c>
      <c r="K33" s="38" t="n">
        <f aca="false">Inputs!$B$20*(1+Inputs!$B$15)^(A33-1)</f>
        <v>571.981918934316</v>
      </c>
      <c r="L33" s="38" t="n">
        <f aca="false">J33+K33</f>
        <v>63416.7793160855</v>
      </c>
      <c r="M33" s="38" t="n">
        <f aca="false">I33-L33</f>
        <v>-9581.42628073254</v>
      </c>
      <c r="N33" s="38" t="n">
        <f aca="false">N32*(1+Inputs!$B$23)+MAX(M33,0)</f>
        <v>985311.006370742</v>
      </c>
      <c r="O33" s="38" t="n">
        <f aca="false">O32*(1+Inputs!$B$23)+MAX(-M33,0)</f>
        <v>59710.566201807</v>
      </c>
      <c r="P33" s="38" t="n">
        <f aca="false">B33*(1-Inputs!$B$14)-C33</f>
        <v>923425.623110907</v>
      </c>
      <c r="Q33" s="38" t="n">
        <f aca="false">P33+O33</f>
        <v>983136.189312714</v>
      </c>
      <c r="R33" s="38" t="n">
        <f aca="false">N33</f>
        <v>985311.006370742</v>
      </c>
      <c r="S33" s="38" t="n">
        <f aca="false">Q33-R33</f>
        <v>-2174.81705802726</v>
      </c>
      <c r="T33" s="37" t="str">
        <f aca="false">IF(T32&lt;&gt;"",T32,IF(S33&gt;=0,A33,""))</f>
        <v/>
      </c>
    </row>
    <row r="34" customFormat="false" ht="15" hidden="false" customHeight="true" outlineLevel="0" collapsed="false">
      <c r="A34" s="37" t="n">
        <v>30</v>
      </c>
      <c r="B34" s="38" t="n">
        <f aca="false">B33*(1+Inputs!$B$13)</f>
        <v>1041538.32638748</v>
      </c>
      <c r="C34" s="38" t="n">
        <f aca="false">IF(A34&gt;=Inputs!$B$7,0,ROUND(-FV(Inputs!$B$6/12,A34*12,-$D$2/12,$B$2),2))</f>
        <v>0</v>
      </c>
      <c r="D34" s="38" t="n">
        <f aca="false">IF(A34&gt;Inputs!$B$7,0,$D$2)</f>
        <v>28185.1670698949</v>
      </c>
      <c r="E34" s="38" t="n">
        <f aca="false">B33*Inputs!$B$9</f>
        <v>11123.2248449149</v>
      </c>
      <c r="F34" s="38" t="n">
        <f aca="false">Inputs!$B$10*(1+Inputs!$B$15)^(A34-1)</f>
        <v>5184.44411322064</v>
      </c>
      <c r="G34" s="38" t="n">
        <f aca="false">Inputs!$B$11*12*(1+Inputs!$B$15)^(A34-1)</f>
        <v>0</v>
      </c>
      <c r="H34" s="38" t="n">
        <f aca="false">B33*Inputs!$B$12</f>
        <v>10112.0225862862</v>
      </c>
      <c r="I34" s="38" t="n">
        <f aca="false">SUM(D34:H34)</f>
        <v>54604.8586143167</v>
      </c>
      <c r="J34" s="38" t="n">
        <f aca="false">Inputs!$B$18*12*(1+Inputs!$B$19)^(A34-1)</f>
        <v>64730.1413190657</v>
      </c>
      <c r="K34" s="38" t="n">
        <f aca="false">Inputs!$B$20*(1+Inputs!$B$15)^(A34-1)</f>
        <v>589.141376502345</v>
      </c>
      <c r="L34" s="38" t="n">
        <f aca="false">J34+K34</f>
        <v>65319.282695568</v>
      </c>
      <c r="M34" s="38" t="n">
        <f aca="false">I34-L34</f>
        <v>-10714.4240812514</v>
      </c>
      <c r="N34" s="38" t="n">
        <f aca="false">N33*(1+Inputs!$B$23)+MAX(M34,0)</f>
        <v>1044429.66675299</v>
      </c>
      <c r="O34" s="38" t="n">
        <f aca="false">O33*(1+Inputs!$B$23)+MAX(-M34,0)</f>
        <v>74007.6242551668</v>
      </c>
      <c r="P34" s="38" t="n">
        <f aca="false">B34*(1-Inputs!$B$14)-C34</f>
        <v>979046.026804235</v>
      </c>
      <c r="Q34" s="38" t="n">
        <f aca="false">P34+O34</f>
        <v>1053053.6510594</v>
      </c>
      <c r="R34" s="38" t="n">
        <f aca="false">N34</f>
        <v>1044429.66675299</v>
      </c>
      <c r="S34" s="38" t="n">
        <f aca="false">Q34-R34</f>
        <v>8623.98430641543</v>
      </c>
      <c r="T34" s="37" t="n">
        <f aca="false">IF(T33&lt;&gt;"",T33,IF(S34&gt;=0,A34,""))</f>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2026-09-27T18:39:13Z</dcterms:created>
  <dc:creator>Decide Like a CFO</dc:creator>
  <dc:description/>
  <dc:language>en-US</dc:language>
  <cp:lastModifiedBy/>
  <dcterms:modified xsi:type="dcterms:W3CDTF">2026-10-05T11:13:19Z</dcterms:modified>
  <cp:revision>0</cp:revision>
  <dc:subject/>
  <dc:title>Rent vs Buy Decision Model (Episode 1, v4)</dc:title>
</cp:coreProperties>
</file>

<file path=docProps/custom.xml><?xml version="1.0" encoding="utf-8"?>
<Properties xmlns="http://schemas.openxmlformats.org/officeDocument/2006/custom-properties" xmlns:vt="http://schemas.openxmlformats.org/officeDocument/2006/docPropsVTypes"/>
</file>